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F75829DB-83DD-47DC-AE2A-15509FED2C45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Bruto plata (vladini razredi)" sheetId="5" state="hidden" r:id="rId1"/>
    <sheet name="Po razredima nedovršeno" sheetId="6" state="hidden" r:id="rId2"/>
    <sheet name="Kalkulacija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8" l="1"/>
  <c r="D28" i="8" l="1"/>
  <c r="D26" i="8" s="1"/>
  <c r="B12" i="8" s="1"/>
  <c r="J40" i="8"/>
  <c r="J42" i="8" s="1"/>
  <c r="D40" i="8"/>
  <c r="F15" i="8" s="1"/>
  <c r="D42" i="8"/>
  <c r="D41" i="8"/>
  <c r="D29" i="8"/>
  <c r="D27" i="8"/>
  <c r="D15" i="8" l="1"/>
  <c r="F18" i="8"/>
  <c r="G18" i="8" s="1"/>
  <c r="J29" i="8"/>
  <c r="J41" i="8"/>
  <c r="J26" i="8" l="1"/>
  <c r="J28" i="8" s="1"/>
  <c r="G7" i="5"/>
  <c r="G10" i="5"/>
  <c r="G15" i="5"/>
  <c r="G18" i="5"/>
  <c r="F6" i="5"/>
  <c r="G6" i="5" s="1"/>
  <c r="F18" i="5"/>
  <c r="F17" i="5"/>
  <c r="G17" i="5" s="1"/>
  <c r="F16" i="5"/>
  <c r="G16" i="5" s="1"/>
  <c r="F15" i="5"/>
  <c r="F14" i="5"/>
  <c r="G14" i="5" s="1"/>
  <c r="F13" i="5"/>
  <c r="G13" i="5" s="1"/>
  <c r="F12" i="5"/>
  <c r="G12" i="5" s="1"/>
  <c r="F11" i="5"/>
  <c r="G11" i="5" s="1"/>
  <c r="F10" i="5"/>
  <c r="F9" i="5"/>
  <c r="G9" i="5" s="1"/>
  <c r="F8" i="5"/>
  <c r="G8" i="5" s="1"/>
  <c r="F7" i="5"/>
  <c r="G6" i="6"/>
  <c r="Q18" i="6"/>
  <c r="O18" i="6"/>
  <c r="M18" i="6"/>
  <c r="G18" i="6"/>
  <c r="Q17" i="6"/>
  <c r="O17" i="6"/>
  <c r="M17" i="6"/>
  <c r="G17" i="6"/>
  <c r="Q16" i="6"/>
  <c r="O16" i="6"/>
  <c r="M16" i="6"/>
  <c r="G16" i="6"/>
  <c r="Q15" i="6"/>
  <c r="O15" i="6"/>
  <c r="M15" i="6"/>
  <c r="G15" i="6"/>
  <c r="Q14" i="6"/>
  <c r="O14" i="6"/>
  <c r="M14" i="6"/>
  <c r="G14" i="6"/>
  <c r="Q13" i="6"/>
  <c r="O13" i="6"/>
  <c r="M13" i="6"/>
  <c r="G13" i="6"/>
  <c r="Q12" i="6"/>
  <c r="O12" i="6"/>
  <c r="M12" i="6"/>
  <c r="G12" i="6"/>
  <c r="Q11" i="6"/>
  <c r="O11" i="6"/>
  <c r="M11" i="6"/>
  <c r="G11" i="6"/>
  <c r="Q10" i="6"/>
  <c r="O10" i="6"/>
  <c r="M10" i="6"/>
  <c r="G10" i="6"/>
  <c r="Q9" i="6"/>
  <c r="O9" i="6"/>
  <c r="M9" i="6"/>
  <c r="G9" i="6"/>
  <c r="Q8" i="6"/>
  <c r="O8" i="6"/>
  <c r="M8" i="6"/>
  <c r="G8" i="6"/>
  <c r="Q7" i="6"/>
  <c r="O7" i="6"/>
  <c r="M7" i="6"/>
  <c r="G7" i="6"/>
  <c r="Q6" i="6"/>
  <c r="O6" i="6"/>
  <c r="M6" i="6"/>
  <c r="D18" i="8" l="1"/>
  <c r="J34" i="8"/>
  <c r="J32" i="8" s="1"/>
  <c r="Q7" i="5"/>
  <c r="Q8" i="5"/>
  <c r="Q9" i="5"/>
  <c r="Q10" i="5"/>
  <c r="Q11" i="5"/>
  <c r="Q12" i="5"/>
  <c r="Q13" i="5"/>
  <c r="Q14" i="5"/>
  <c r="Q15" i="5"/>
  <c r="Q16" i="5"/>
  <c r="Q17" i="5"/>
  <c r="Q18" i="5"/>
  <c r="Q6" i="5"/>
  <c r="O7" i="5"/>
  <c r="O8" i="5"/>
  <c r="O9" i="5"/>
  <c r="O10" i="5"/>
  <c r="O11" i="5"/>
  <c r="O12" i="5"/>
  <c r="O13" i="5"/>
  <c r="O14" i="5"/>
  <c r="O15" i="5"/>
  <c r="O16" i="5"/>
  <c r="O17" i="5"/>
  <c r="O18" i="5"/>
  <c r="O6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J31" i="8" l="1"/>
  <c r="C18" i="8"/>
  <c r="J39" i="8"/>
  <c r="H18" i="8" s="1"/>
  <c r="J33" i="8"/>
  <c r="E18" i="8" s="1"/>
  <c r="J30" i="8"/>
  <c r="J43" i="8"/>
  <c r="J44" i="8" s="1"/>
  <c r="D34" i="8"/>
  <c r="D32" i="8" l="1"/>
  <c r="I34" i="8"/>
  <c r="I39" i="8" s="1"/>
  <c r="D30" i="8"/>
  <c r="D37" i="8"/>
  <c r="D33" i="8"/>
  <c r="C15" i="8"/>
  <c r="D43" i="8"/>
  <c r="D31" i="8"/>
  <c r="D38" i="8"/>
  <c r="D36" i="8"/>
  <c r="D35" i="8"/>
  <c r="D44" i="8" l="1"/>
  <c r="D39" i="8"/>
  <c r="H15" i="8" s="1"/>
  <c r="I18" i="8" s="1"/>
  <c r="I43" i="8"/>
  <c r="C16" i="8"/>
  <c r="H16" i="8"/>
  <c r="E15" i="8"/>
  <c r="I32" i="8"/>
  <c r="I33" i="8"/>
  <c r="I30" i="8"/>
  <c r="I31" i="8"/>
  <c r="K39" i="8" l="1"/>
  <c r="K34" i="8" s="1"/>
  <c r="K33" i="8" s="1"/>
  <c r="E20" i="8" s="1"/>
  <c r="I16" i="8"/>
  <c r="I26" i="8"/>
  <c r="I28" i="8" s="1"/>
  <c r="E16" i="8"/>
  <c r="K43" i="8" l="1"/>
  <c r="K31" i="8"/>
  <c r="K26" i="8"/>
  <c r="K28" i="8" s="1"/>
  <c r="D20" i="8" s="1"/>
  <c r="K32" i="8"/>
  <c r="C20" i="8"/>
  <c r="K30" i="8"/>
  <c r="H20" i="8"/>
  <c r="I20" i="8" s="1"/>
  <c r="D16" i="8"/>
  <c r="I29" i="8"/>
  <c r="I40" i="8" s="1"/>
  <c r="I41" i="8" l="1"/>
  <c r="I42" i="8"/>
  <c r="F16" i="8"/>
  <c r="G16" i="8" s="1"/>
  <c r="K29" i="8"/>
  <c r="K40" i="8" s="1"/>
  <c r="I44" i="8" l="1"/>
  <c r="K42" i="8"/>
  <c r="F20" i="8"/>
  <c r="G20" i="8" s="1"/>
  <c r="K41" i="8"/>
  <c r="K44" i="8" l="1"/>
</calcChain>
</file>

<file path=xl/sharedStrings.xml><?xml version="1.0" encoding="utf-8"?>
<sst xmlns="http://schemas.openxmlformats.org/spreadsheetml/2006/main" count="89" uniqueCount="51">
  <si>
    <t>Neto plata</t>
  </si>
  <si>
    <t>Porez na dohodak</t>
  </si>
  <si>
    <t>Neto plata - isplata na ruke</t>
  </si>
  <si>
    <t>Doprinos za penzijsko i invalidsko osiguranje</t>
  </si>
  <si>
    <t>Doprinos za zdravstveno osiguranje</t>
  </si>
  <si>
    <t>Doprinos za osiguranje od nezaposlenosti</t>
  </si>
  <si>
    <t>Doprinos iz bruto plate (na teret zaposlenog)</t>
  </si>
  <si>
    <t>Bruto plata (u ugovoru)</t>
  </si>
  <si>
    <t>Doprinos iz bruto plate (na teret poslodavca)</t>
  </si>
  <si>
    <t>Ukupni trošak za poslodavca</t>
  </si>
  <si>
    <t>Ukupno isplata na ruke (neto plata,topli obrok, prevoz, regres, ostalo)</t>
  </si>
  <si>
    <t>Bruto plata</t>
  </si>
  <si>
    <t>Ukupni trošak rada</t>
  </si>
  <si>
    <t>Poreski klin</t>
  </si>
  <si>
    <t>Opšta vodna naknada</t>
  </si>
  <si>
    <t>Nova bruto plata</t>
  </si>
  <si>
    <t>Trenutna bruto plata</t>
  </si>
  <si>
    <t>Isplata na ruke (sa maksimalnim neoporezivim toplim obrokom)</t>
  </si>
  <si>
    <t>Porezni razred</t>
  </si>
  <si>
    <t>Neto plata / Osnovica</t>
  </si>
  <si>
    <t>Efekat na primanja</t>
  </si>
  <si>
    <t>Efekat na ukupni trošak rada</t>
  </si>
  <si>
    <t>KALKULACIJA PLATA</t>
  </si>
  <si>
    <t>Iznos neto plate (s porezom)</t>
  </si>
  <si>
    <t>Iznos toplog obroka</t>
  </si>
  <si>
    <t>Iznos prevoza</t>
  </si>
  <si>
    <t>Iznos regresa</t>
  </si>
  <si>
    <t>Iznos ostalih naknada</t>
  </si>
  <si>
    <t>Lični odbitak  (iz vaše porezne kartice)</t>
  </si>
  <si>
    <t>Doprinosi</t>
  </si>
  <si>
    <t>Ukupna isplata</t>
  </si>
  <si>
    <t>Trošak poslodavca</t>
  </si>
  <si>
    <t>Detaljna kalkulacija</t>
  </si>
  <si>
    <t>Neto plata (neto plata,topli obrok, prevoz, regres, ostalo)</t>
  </si>
  <si>
    <t>Lièni odbitak (iz vaše porezne kartice)</t>
  </si>
  <si>
    <t>Predloženi zakon (ista isplata)</t>
  </si>
  <si>
    <t>Predloženi zakon (isti trošak poslodavca)</t>
  </si>
  <si>
    <t>Važeći zakoni</t>
  </si>
  <si>
    <t>Unesite iznose u plava polja</t>
  </si>
  <si>
    <t>Predloženi zakon (zakonska obaveza)</t>
  </si>
  <si>
    <t>Lični odbitak</t>
  </si>
  <si>
    <t>Ista isplata</t>
  </si>
  <si>
    <t>Isti trošak</t>
  </si>
  <si>
    <t>Predloženi zakon</t>
  </si>
  <si>
    <t>Zakonska obaveza</t>
  </si>
  <si>
    <t>Posebna naknada za prirodne i dr. nesreće</t>
  </si>
  <si>
    <t>Sredstva za podsticaj i zap. lica sa invalid.</t>
  </si>
  <si>
    <t>Ukupni trošak za poslodavca sa uračunatim naknadama</t>
  </si>
  <si>
    <t>(vrijednost od 1 do 2, ako ne znate ostavite 1)</t>
  </si>
  <si>
    <t>Ukupna plata (neto plata + t.o. + prevoz + regres)</t>
  </si>
  <si>
    <t>Iznos neto plate nakon poreza na dohodak (bez t.o.)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</si>
</sst>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5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2" tint="-0.74999237037263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</font>
    <font>
      <sz val="11"/>
      <name val="Arial"/>
      <family val="2"/>
    </font>
    <font>
      <i/>
      <sz val="11"/>
      <color theme="9"/>
      <name val="Arial"/>
      <family val="2"/>
      <charset val="238"/>
    </font>
    <font>
      <sz val="11"/>
      <color theme="1"/>
      <name val="Arial"/>
      <family val="2"/>
    </font>
    <font>
      <b/>
      <sz val="11"/>
      <color theme="0"/>
      <name val="Arial"/>
      <family val="2"/>
      <charset val="238"/>
    </font>
    <font>
      <sz val="11"/>
      <name val="Arial"/>
      <family val="2"/>
      <charset val="238"/>
    </font>
    <font>
      <sz val="11"/>
      <color theme="8"/>
      <name val="Arial"/>
      <family val="2"/>
      <charset val="238"/>
    </font>
    <font>
      <b/>
      <sz val="11"/>
      <color theme="8"/>
      <name val="Arial"/>
      <family val="2"/>
    </font>
    <font>
      <sz val="11"/>
      <color theme="4"/>
      <name val="Arial"/>
      <family val="2"/>
      <charset val="238"/>
    </font>
    <font>
      <b/>
      <sz val="11"/>
      <color theme="9"/>
      <name val="Arial"/>
      <family val="2"/>
    </font>
    <font>
      <b/>
      <sz val="11"/>
      <name val="Arial"/>
      <family val="2"/>
    </font>
    <font>
      <sz val="11"/>
      <color theme="5"/>
      <name val="Arial"/>
      <family val="2"/>
      <charset val="238"/>
    </font>
    <font>
      <sz val="11"/>
      <color theme="5"/>
      <name val="Arial"/>
      <family val="2"/>
    </font>
    <font>
      <b/>
      <sz val="11"/>
      <color theme="5"/>
      <name val="Arial"/>
      <family val="2"/>
    </font>
    <font>
      <sz val="11"/>
      <color theme="8"/>
      <name val="Arial"/>
      <family val="2"/>
    </font>
    <font>
      <sz val="11"/>
      <color theme="9"/>
      <name val="Arial"/>
      <family val="2"/>
    </font>
    <font>
      <b/>
      <sz val="18"/>
      <color theme="8"/>
      <name val="Arial"/>
      <family val="2"/>
    </font>
    <font>
      <b/>
      <sz val="14"/>
      <color theme="8"/>
      <name val="Arial"/>
      <family val="2"/>
      <charset val="238"/>
    </font>
    <font>
      <sz val="11"/>
      <color theme="0"/>
      <name val="Arial"/>
      <family val="2"/>
    </font>
    <font>
      <sz val="11"/>
      <color theme="8"/>
      <name val="Calibri"/>
      <family val="2"/>
      <charset val="238"/>
      <scheme val="minor"/>
    </font>
    <font>
      <b/>
      <sz val="16"/>
      <color theme="5"/>
      <name val="Arial"/>
      <family val="2"/>
      <charset val="238"/>
    </font>
    <font>
      <b/>
      <sz val="16"/>
      <color theme="8"/>
      <name val="Arial"/>
      <family val="2"/>
    </font>
    <font>
      <sz val="14"/>
      <name val="Arial"/>
      <family val="2"/>
      <charset val="238"/>
    </font>
    <font>
      <sz val="14"/>
      <color theme="5"/>
      <name val="Arial"/>
      <family val="2"/>
      <charset val="238"/>
    </font>
    <font>
      <sz val="14"/>
      <color theme="4"/>
      <name val="Arial"/>
      <family val="2"/>
      <charset val="238"/>
    </font>
    <font>
      <b/>
      <sz val="14"/>
      <color theme="5"/>
      <name val="Arial"/>
      <family val="2"/>
    </font>
    <font>
      <b/>
      <i/>
      <sz val="14"/>
      <color theme="9"/>
      <name val="Arial"/>
      <family val="2"/>
    </font>
    <font>
      <b/>
      <sz val="11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3">
    <xf numFmtId="0" fontId="0" fillId="0" borderId="0"/>
    <xf numFmtId="0" fontId="6" fillId="5" borderId="1" applyNumberFormat="0" applyAlignment="0" applyProtection="0"/>
    <xf numFmtId="0" fontId="5" fillId="6" borderId="2" applyNumberFormat="0" applyFont="0" applyAlignment="0" applyProtection="0"/>
  </cellStyleXfs>
  <cellXfs count="125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0" fontId="4" fillId="0" borderId="0" xfId="0" applyFont="1"/>
    <xf numFmtId="0" fontId="0" fillId="4" borderId="0" xfId="0" applyFill="1"/>
    <xf numFmtId="164" fontId="0" fillId="4" borderId="0" xfId="0" applyNumberFormat="1" applyFill="1"/>
    <xf numFmtId="2" fontId="4" fillId="0" borderId="0" xfId="0" applyNumberFormat="1" applyFont="1"/>
    <xf numFmtId="2" fontId="4" fillId="4" borderId="0" xfId="0" applyNumberFormat="1" applyFont="1" applyFill="1"/>
    <xf numFmtId="164" fontId="3" fillId="0" borderId="0" xfId="0" applyNumberFormat="1" applyFont="1"/>
    <xf numFmtId="164" fontId="0" fillId="3" borderId="0" xfId="0" applyNumberFormat="1" applyFill="1"/>
    <xf numFmtId="164" fontId="0" fillId="0" borderId="0" xfId="0" applyNumberFormat="1" applyFill="1"/>
    <xf numFmtId="0" fontId="9" fillId="2" borderId="0" xfId="2" applyFont="1" applyFill="1" applyBorder="1" applyAlignment="1" applyProtection="1">
      <alignment horizontal="left" vertical="center" wrapText="1"/>
    </xf>
    <xf numFmtId="4" fontId="10" fillId="2" borderId="0" xfId="1" applyNumberFormat="1" applyFont="1" applyFill="1" applyBorder="1" applyProtection="1"/>
    <xf numFmtId="0" fontId="8" fillId="2" borderId="0" xfId="0" applyFont="1" applyFill="1" applyProtection="1"/>
    <xf numFmtId="0" fontId="2" fillId="0" borderId="0" xfId="0" applyFont="1" applyProtection="1"/>
    <xf numFmtId="4" fontId="8" fillId="2" borderId="0" xfId="0" applyNumberFormat="1" applyFont="1" applyFill="1" applyProtection="1"/>
    <xf numFmtId="0" fontId="11" fillId="2" borderId="0" xfId="0" applyFont="1" applyFill="1" applyProtection="1"/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left" wrapText="1"/>
    </xf>
    <xf numFmtId="0" fontId="1" fillId="0" borderId="0" xfId="0" applyFont="1" applyProtection="1"/>
    <xf numFmtId="4" fontId="12" fillId="2" borderId="0" xfId="0" applyNumberFormat="1" applyFont="1" applyFill="1" applyAlignment="1" applyProtection="1"/>
    <xf numFmtId="4" fontId="13" fillId="2" borderId="0" xfId="0" applyNumberFormat="1" applyFont="1" applyFill="1" applyProtection="1"/>
    <xf numFmtId="4" fontId="22" fillId="2" borderId="0" xfId="0" applyNumberFormat="1" applyFont="1" applyFill="1" applyAlignment="1" applyProtection="1"/>
    <xf numFmtId="4" fontId="22" fillId="2" borderId="8" xfId="0" applyNumberFormat="1" applyFont="1" applyFill="1" applyBorder="1" applyAlignment="1" applyProtection="1">
      <alignment horizontal="center"/>
    </xf>
    <xf numFmtId="4" fontId="24" fillId="2" borderId="8" xfId="0" applyNumberFormat="1" applyFont="1" applyFill="1" applyBorder="1" applyAlignment="1" applyProtection="1">
      <alignment horizontal="center"/>
    </xf>
    <xf numFmtId="0" fontId="8" fillId="2" borderId="8" xfId="0" applyFont="1" applyFill="1" applyBorder="1" applyProtection="1"/>
    <xf numFmtId="4" fontId="27" fillId="2" borderId="7" xfId="0" applyNumberFormat="1" applyFont="1" applyFill="1" applyBorder="1" applyAlignment="1" applyProtection="1">
      <alignment horizontal="right"/>
    </xf>
    <xf numFmtId="4" fontId="29" fillId="2" borderId="8" xfId="0" applyNumberFormat="1" applyFont="1" applyFill="1" applyBorder="1" applyAlignment="1" applyProtection="1">
      <alignment horizontal="right"/>
    </xf>
    <xf numFmtId="4" fontId="30" fillId="2" borderId="7" xfId="0" applyNumberFormat="1" applyFont="1" applyFill="1" applyBorder="1" applyAlignment="1" applyProtection="1">
      <alignment horizontal="right"/>
    </xf>
    <xf numFmtId="0" fontId="16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center"/>
    </xf>
    <xf numFmtId="2" fontId="14" fillId="2" borderId="0" xfId="0" applyNumberFormat="1" applyFont="1" applyFill="1" applyAlignment="1" applyProtection="1">
      <alignment horizontal="right"/>
    </xf>
    <xf numFmtId="0" fontId="16" fillId="2" borderId="8" xfId="0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center"/>
    </xf>
    <xf numFmtId="2" fontId="28" fillId="2" borderId="12" xfId="0" applyNumberFormat="1" applyFont="1" applyFill="1" applyBorder="1" applyAlignment="1" applyProtection="1">
      <alignment horizontal="right"/>
    </xf>
    <xf numFmtId="2" fontId="29" fillId="2" borderId="8" xfId="0" applyNumberFormat="1" applyFont="1" applyFill="1" applyBorder="1" applyAlignment="1" applyProtection="1">
      <alignment horizontal="right"/>
    </xf>
    <xf numFmtId="2" fontId="30" fillId="2" borderId="8" xfId="0" applyNumberFormat="1" applyFont="1" applyFill="1" applyBorder="1" applyAlignment="1" applyProtection="1">
      <alignment horizontal="right"/>
    </xf>
    <xf numFmtId="0" fontId="18" fillId="2" borderId="0" xfId="0" applyFont="1" applyFill="1" applyAlignment="1" applyProtection="1"/>
    <xf numFmtId="4" fontId="18" fillId="2" borderId="0" xfId="0" applyNumberFormat="1" applyFont="1" applyFill="1" applyAlignment="1" applyProtection="1"/>
    <xf numFmtId="0" fontId="15" fillId="2" borderId="0" xfId="0" applyFont="1" applyFill="1" applyAlignment="1" applyProtection="1">
      <alignment horizontal="center"/>
    </xf>
    <xf numFmtId="4" fontId="27" fillId="2" borderId="13" xfId="0" applyNumberFormat="1" applyFont="1" applyFill="1" applyBorder="1" applyAlignment="1" applyProtection="1">
      <alignment horizontal="right"/>
    </xf>
    <xf numFmtId="4" fontId="30" fillId="2" borderId="13" xfId="0" applyNumberFormat="1" applyFont="1" applyFill="1" applyBorder="1" applyAlignment="1" applyProtection="1">
      <alignment horizontal="right"/>
    </xf>
    <xf numFmtId="0" fontId="16" fillId="2" borderId="0" xfId="0" applyFont="1" applyFill="1" applyAlignment="1" applyProtection="1"/>
    <xf numFmtId="10" fontId="16" fillId="2" borderId="0" xfId="0" applyNumberFormat="1" applyFont="1" applyFill="1" applyAlignment="1" applyProtection="1"/>
    <xf numFmtId="4" fontId="16" fillId="2" borderId="0" xfId="0" applyNumberFormat="1" applyFont="1" applyFill="1" applyAlignment="1" applyProtection="1"/>
    <xf numFmtId="0" fontId="16" fillId="2" borderId="8" xfId="0" applyFont="1" applyFill="1" applyBorder="1" applyAlignment="1" applyProtection="1"/>
    <xf numFmtId="9" fontId="16" fillId="2" borderId="0" xfId="0" applyNumberFormat="1" applyFont="1" applyFill="1" applyAlignment="1" applyProtection="1">
      <alignment horizontal="right"/>
    </xf>
    <xf numFmtId="2" fontId="27" fillId="2" borderId="8" xfId="0" applyNumberFormat="1" applyFont="1" applyFill="1" applyBorder="1" applyAlignment="1" applyProtection="1">
      <alignment horizontal="right"/>
    </xf>
    <xf numFmtId="10" fontId="8" fillId="2" borderId="0" xfId="0" applyNumberFormat="1" applyFont="1" applyFill="1" applyAlignment="1" applyProtection="1">
      <alignment horizontal="right"/>
    </xf>
    <xf numFmtId="9" fontId="8" fillId="2" borderId="0" xfId="0" applyNumberFormat="1" applyFont="1" applyFill="1" applyAlignment="1" applyProtection="1">
      <alignment horizontal="right"/>
    </xf>
    <xf numFmtId="4" fontId="8" fillId="2" borderId="3" xfId="0" applyNumberFormat="1" applyFont="1" applyFill="1" applyBorder="1" applyProtection="1"/>
    <xf numFmtId="4" fontId="28" fillId="2" borderId="3" xfId="0" applyNumberFormat="1" applyFont="1" applyFill="1" applyBorder="1" applyProtection="1"/>
    <xf numFmtId="4" fontId="28" fillId="2" borderId="8" xfId="0" applyNumberFormat="1" applyFont="1" applyFill="1" applyBorder="1" applyAlignment="1" applyProtection="1">
      <alignment horizontal="right"/>
    </xf>
    <xf numFmtId="4" fontId="30" fillId="2" borderId="8" xfId="0" applyNumberFormat="1" applyFont="1" applyFill="1" applyBorder="1" applyAlignment="1" applyProtection="1">
      <alignment horizontal="right"/>
    </xf>
    <xf numFmtId="0" fontId="8" fillId="2" borderId="0" xfId="0" applyFont="1" applyFill="1" applyAlignment="1" applyProtection="1">
      <alignment horizontal="right"/>
    </xf>
    <xf numFmtId="4" fontId="24" fillId="2" borderId="3" xfId="0" applyNumberFormat="1" applyFont="1" applyFill="1" applyBorder="1" applyProtection="1"/>
    <xf numFmtId="4" fontId="27" fillId="2" borderId="8" xfId="0" applyNumberFormat="1" applyFont="1" applyFill="1" applyBorder="1" applyAlignment="1" applyProtection="1">
      <alignment horizontal="right"/>
    </xf>
    <xf numFmtId="4" fontId="24" fillId="2" borderId="8" xfId="0" applyNumberFormat="1" applyFont="1" applyFill="1" applyBorder="1" applyAlignment="1" applyProtection="1">
      <alignment horizontal="right"/>
    </xf>
    <xf numFmtId="4" fontId="22" fillId="2" borderId="3" xfId="0" applyNumberFormat="1" applyFont="1" applyFill="1" applyBorder="1" applyProtection="1"/>
    <xf numFmtId="4" fontId="22" fillId="2" borderId="8" xfId="0" applyNumberFormat="1" applyFont="1" applyFill="1" applyBorder="1" applyAlignment="1" applyProtection="1">
      <alignment horizontal="right"/>
    </xf>
    <xf numFmtId="4" fontId="27" fillId="2" borderId="8" xfId="0" applyNumberFormat="1" applyFont="1" applyFill="1" applyBorder="1" applyProtection="1"/>
    <xf numFmtId="4" fontId="8" fillId="2" borderId="13" xfId="0" applyNumberFormat="1" applyFont="1" applyFill="1" applyBorder="1" applyProtection="1"/>
    <xf numFmtId="2" fontId="8" fillId="2" borderId="8" xfId="0" applyNumberFormat="1" applyFont="1" applyFill="1" applyBorder="1" applyProtection="1"/>
    <xf numFmtId="0" fontId="21" fillId="2" borderId="0" xfId="0" applyFont="1" applyFill="1" applyProtection="1"/>
    <xf numFmtId="0" fontId="20" fillId="8" borderId="0" xfId="0" applyFont="1" applyFill="1" applyBorder="1" applyProtection="1"/>
    <xf numFmtId="0" fontId="7" fillId="2" borderId="0" xfId="2" applyFont="1" applyFill="1" applyBorder="1" applyAlignment="1" applyProtection="1">
      <alignment vertical="center"/>
    </xf>
    <xf numFmtId="4" fontId="19" fillId="7" borderId="0" xfId="0" applyNumberFormat="1" applyFont="1" applyFill="1" applyBorder="1" applyAlignment="1" applyProtection="1">
      <alignment horizontal="center"/>
      <protection locked="0"/>
    </xf>
    <xf numFmtId="4" fontId="19" fillId="7" borderId="0" xfId="1" applyNumberFormat="1" applyFont="1" applyFill="1" applyBorder="1" applyAlignment="1" applyProtection="1">
      <alignment horizontal="center"/>
      <protection locked="0"/>
    </xf>
    <xf numFmtId="4" fontId="20" fillId="8" borderId="0" xfId="0" applyNumberFormat="1" applyFont="1" applyFill="1" applyBorder="1" applyAlignment="1" applyProtection="1">
      <alignment horizontal="center"/>
    </xf>
    <xf numFmtId="4" fontId="8" fillId="8" borderId="0" xfId="0" applyNumberFormat="1" applyFont="1" applyFill="1" applyBorder="1" applyAlignment="1" applyProtection="1">
      <alignment horizontal="center"/>
    </xf>
    <xf numFmtId="0" fontId="33" fillId="9" borderId="0" xfId="2" applyFont="1" applyFill="1" applyBorder="1" applyAlignment="1" applyProtection="1">
      <alignment horizontal="left" vertical="center"/>
    </xf>
    <xf numFmtId="0" fontId="34" fillId="0" borderId="3" xfId="2" applyFont="1" applyFill="1" applyBorder="1" applyAlignment="1" applyProtection="1">
      <alignment horizontal="left" vertical="center" wrapText="1"/>
    </xf>
    <xf numFmtId="2" fontId="35" fillId="9" borderId="22" xfId="2" applyNumberFormat="1" applyFont="1" applyFill="1" applyBorder="1" applyAlignment="1" applyProtection="1">
      <alignment horizontal="center" vertical="center"/>
      <protection locked="0"/>
    </xf>
    <xf numFmtId="4" fontId="10" fillId="2" borderId="9" xfId="1" applyNumberFormat="1" applyFont="1" applyFill="1" applyBorder="1" applyAlignment="1" applyProtection="1">
      <alignment vertical="center"/>
    </xf>
    <xf numFmtId="4" fontId="37" fillId="10" borderId="16" xfId="0" applyNumberFormat="1" applyFont="1" applyFill="1" applyBorder="1" applyAlignment="1" applyProtection="1">
      <alignment horizontal="center" vertical="center"/>
    </xf>
    <xf numFmtId="4" fontId="38" fillId="10" borderId="8" xfId="0" applyNumberFormat="1" applyFont="1" applyFill="1" applyBorder="1" applyAlignment="1" applyProtection="1">
      <alignment horizontal="center" vertical="center"/>
    </xf>
    <xf numFmtId="4" fontId="39" fillId="10" borderId="8" xfId="0" applyNumberFormat="1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vertical="center"/>
    </xf>
    <xf numFmtId="4" fontId="20" fillId="2" borderId="12" xfId="0" applyNumberFormat="1" applyFont="1" applyFill="1" applyBorder="1" applyAlignment="1" applyProtection="1">
      <alignment horizontal="left" vertical="center"/>
    </xf>
    <xf numFmtId="2" fontId="20" fillId="2" borderId="12" xfId="0" applyNumberFormat="1" applyFont="1" applyFill="1" applyBorder="1" applyAlignment="1" applyProtection="1">
      <alignment horizontal="left" vertical="center"/>
    </xf>
    <xf numFmtId="4" fontId="20" fillId="2" borderId="17" xfId="0" applyNumberFormat="1" applyFont="1" applyFill="1" applyBorder="1" applyAlignment="1" applyProtection="1">
      <alignment horizontal="left" vertical="center"/>
    </xf>
    <xf numFmtId="4" fontId="20" fillId="2" borderId="16" xfId="0" applyNumberFormat="1" applyFont="1" applyFill="1" applyBorder="1" applyAlignment="1" applyProtection="1">
      <alignment horizontal="left" vertical="center"/>
    </xf>
    <xf numFmtId="0" fontId="8" fillId="2" borderId="18" xfId="0" applyFont="1" applyFill="1" applyBorder="1" applyAlignment="1" applyProtection="1">
      <alignment vertical="center"/>
    </xf>
    <xf numFmtId="0" fontId="26" fillId="2" borderId="8" xfId="0" applyFont="1" applyFill="1" applyBorder="1" applyAlignment="1" applyProtection="1">
      <alignment vertical="center"/>
    </xf>
    <xf numFmtId="4" fontId="26" fillId="2" borderId="13" xfId="0" applyNumberFormat="1" applyFont="1" applyFill="1" applyBorder="1" applyAlignment="1" applyProtection="1">
      <alignment horizontal="left" vertical="center"/>
    </xf>
    <xf numFmtId="2" fontId="26" fillId="2" borderId="13" xfId="0" applyNumberFormat="1" applyFont="1" applyFill="1" applyBorder="1" applyAlignment="1" applyProtection="1">
      <alignment horizontal="left" vertical="center"/>
    </xf>
    <xf numFmtId="4" fontId="8" fillId="2" borderId="23" xfId="0" applyNumberFormat="1" applyFont="1" applyFill="1" applyBorder="1" applyAlignment="1" applyProtection="1">
      <alignment vertical="center"/>
    </xf>
    <xf numFmtId="4" fontId="26" fillId="2" borderId="0" xfId="0" applyNumberFormat="1" applyFont="1" applyFill="1" applyBorder="1" applyAlignment="1" applyProtection="1">
      <alignment horizontal="left" vertical="center"/>
    </xf>
    <xf numFmtId="4" fontId="8" fillId="2" borderId="0" xfId="0" applyNumberFormat="1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vertical="center"/>
    </xf>
    <xf numFmtId="2" fontId="23" fillId="2" borderId="13" xfId="0" applyNumberFormat="1" applyFont="1" applyFill="1" applyBorder="1" applyAlignment="1" applyProtection="1">
      <alignment horizontal="left" vertical="center"/>
    </xf>
    <xf numFmtId="4" fontId="23" fillId="2" borderId="8" xfId="0" applyNumberFormat="1" applyFont="1" applyFill="1" applyBorder="1" applyAlignment="1" applyProtection="1">
      <alignment horizontal="left" vertical="center"/>
    </xf>
    <xf numFmtId="4" fontId="8" fillId="2" borderId="24" xfId="0" applyNumberFormat="1" applyFont="1" applyFill="1" applyBorder="1" applyAlignment="1" applyProtection="1">
      <alignment vertical="center"/>
    </xf>
    <xf numFmtId="0" fontId="17" fillId="2" borderId="19" xfId="0" applyFont="1" applyFill="1" applyBorder="1" applyAlignment="1" applyProtection="1">
      <alignment horizontal="left" vertical="center"/>
    </xf>
    <xf numFmtId="4" fontId="17" fillId="2" borderId="7" xfId="0" applyNumberFormat="1" applyFont="1" applyFill="1" applyBorder="1" applyAlignment="1" applyProtection="1">
      <alignment horizontal="left" vertical="center"/>
    </xf>
    <xf numFmtId="0" fontId="17" fillId="2" borderId="7" xfId="0" applyFont="1" applyFill="1" applyBorder="1" applyAlignment="1" applyProtection="1">
      <alignment horizontal="left" vertical="center" wrapText="1"/>
    </xf>
    <xf numFmtId="4" fontId="8" fillId="2" borderId="25" xfId="0" applyNumberFormat="1" applyFont="1" applyFill="1" applyBorder="1" applyAlignment="1" applyProtection="1">
      <alignment vertical="center"/>
    </xf>
    <xf numFmtId="4" fontId="17" fillId="2" borderId="20" xfId="0" applyNumberFormat="1" applyFont="1" applyFill="1" applyBorder="1" applyAlignment="1" applyProtection="1">
      <alignment horizontal="left" vertical="center" wrapText="1"/>
    </xf>
    <xf numFmtId="4" fontId="8" fillId="2" borderId="21" xfId="0" applyNumberFormat="1" applyFont="1" applyFill="1" applyBorder="1" applyAlignment="1" applyProtection="1">
      <alignment vertical="center"/>
    </xf>
    <xf numFmtId="0" fontId="28" fillId="2" borderId="9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left" vertical="center"/>
    </xf>
    <xf numFmtId="4" fontId="40" fillId="10" borderId="8" xfId="0" applyNumberFormat="1" applyFont="1" applyFill="1" applyBorder="1" applyAlignment="1" applyProtection="1">
      <alignment horizontal="center" vertical="center"/>
    </xf>
    <xf numFmtId="4" fontId="41" fillId="10" borderId="19" xfId="0" applyNumberFormat="1" applyFont="1" applyFill="1" applyBorder="1" applyAlignment="1" applyProtection="1">
      <alignment horizontal="center" vertical="center"/>
    </xf>
    <xf numFmtId="4" fontId="42" fillId="2" borderId="8" xfId="0" applyNumberFormat="1" applyFont="1" applyFill="1" applyBorder="1" applyAlignment="1" applyProtection="1">
      <alignment horizontal="left" vertical="center"/>
    </xf>
    <xf numFmtId="4" fontId="28" fillId="2" borderId="0" xfId="0" applyNumberFormat="1" applyFont="1" applyFill="1" applyBorder="1" applyAlignment="1" applyProtection="1">
      <alignment horizontal="left" vertical="center"/>
    </xf>
    <xf numFmtId="4" fontId="27" fillId="2" borderId="8" xfId="0" applyNumberFormat="1" applyFont="1" applyFill="1" applyBorder="1" applyAlignment="1" applyProtection="1">
      <alignment horizontal="center"/>
    </xf>
    <xf numFmtId="4" fontId="27" fillId="2" borderId="0" xfId="0" applyNumberFormat="1" applyFont="1" applyFill="1" applyBorder="1" applyAlignment="1" applyProtection="1">
      <alignment horizontal="center"/>
    </xf>
    <xf numFmtId="0" fontId="19" fillId="7" borderId="4" xfId="2" applyFont="1" applyFill="1" applyBorder="1" applyAlignment="1" applyProtection="1">
      <alignment horizontal="center" vertical="center"/>
    </xf>
    <xf numFmtId="0" fontId="19" fillId="7" borderId="5" xfId="2" applyFont="1" applyFill="1" applyBorder="1" applyAlignment="1" applyProtection="1">
      <alignment horizontal="center" vertical="center"/>
    </xf>
    <xf numFmtId="0" fontId="19" fillId="7" borderId="6" xfId="2" applyFont="1" applyFill="1" applyBorder="1" applyAlignment="1" applyProtection="1">
      <alignment horizontal="center" vertical="center"/>
    </xf>
    <xf numFmtId="0" fontId="19" fillId="7" borderId="14" xfId="2" applyFont="1" applyFill="1" applyBorder="1" applyAlignment="1" applyProtection="1">
      <alignment horizontal="center" vertical="center"/>
    </xf>
    <xf numFmtId="0" fontId="19" fillId="7" borderId="0" xfId="2" applyFont="1" applyFill="1" applyBorder="1" applyAlignment="1" applyProtection="1">
      <alignment horizontal="center" vertical="center"/>
    </xf>
    <xf numFmtId="0" fontId="19" fillId="7" borderId="15" xfId="2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0" fontId="32" fillId="0" borderId="14" xfId="2" applyFont="1" applyFill="1" applyBorder="1" applyAlignment="1" applyProtection="1">
      <alignment horizontal="right" vertical="center"/>
    </xf>
    <xf numFmtId="0" fontId="32" fillId="0" borderId="0" xfId="2" applyFont="1" applyFill="1" applyBorder="1" applyAlignment="1" applyProtection="1">
      <alignment horizontal="right" vertical="center"/>
    </xf>
    <xf numFmtId="4" fontId="25" fillId="2" borderId="0" xfId="0" applyNumberFormat="1" applyFont="1" applyFill="1" applyAlignment="1" applyProtection="1">
      <alignment horizontal="center"/>
    </xf>
    <xf numFmtId="0" fontId="31" fillId="2" borderId="0" xfId="0" applyFont="1" applyFill="1" applyAlignment="1" applyProtection="1">
      <alignment horizontal="center"/>
    </xf>
    <xf numFmtId="0" fontId="36" fillId="10" borderId="9" xfId="0" applyFont="1" applyFill="1" applyBorder="1" applyAlignment="1" applyProtection="1">
      <alignment horizontal="center" vertical="center"/>
    </xf>
    <xf numFmtId="0" fontId="36" fillId="10" borderId="10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0" fontId="24" fillId="2" borderId="11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/>
    </xf>
    <xf numFmtId="0" fontId="16" fillId="2" borderId="10" xfId="0" applyFont="1" applyFill="1" applyBorder="1" applyAlignment="1" applyProtection="1">
      <alignment horizontal="center"/>
    </xf>
    <xf numFmtId="0" fontId="16" fillId="2" borderId="11" xfId="0" applyFont="1" applyFill="1" applyBorder="1" applyAlignment="1" applyProtection="1">
      <alignment horizontal="center"/>
    </xf>
  </cellXfs>
  <cellStyles count="3">
    <cellStyle name="Calculation" xfId="1" builtinId="22"/>
    <cellStyle name="Normal" xfId="0" builtinId="0"/>
    <cellStyle name="Note" xfId="2" builtinId="10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317869</xdr:colOff>
      <xdr:row>5</xdr:row>
      <xdr:rowOff>0</xdr:rowOff>
    </xdr:from>
    <xdr:to>
      <xdr:col>3</xdr:col>
      <xdr:colOff>830697</xdr:colOff>
      <xdr:row>8</xdr:row>
      <xdr:rowOff>66555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FFB262-A409-4E61-862A-6DEF968A6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170" y="963976"/>
          <a:ext cx="1469153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742107</xdr:colOff>
      <xdr:row>5</xdr:row>
      <xdr:rowOff>0</xdr:rowOff>
    </xdr:from>
    <xdr:to>
      <xdr:col>6</xdr:col>
      <xdr:colOff>1202739</xdr:colOff>
      <xdr:row>7</xdr:row>
      <xdr:rowOff>157470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15B7487-6E6F-4817-8769-01F059CEB5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2500" b="12500"/>
        <a:stretch/>
      </xdr:blipFill>
      <xdr:spPr>
        <a:xfrm>
          <a:off x="7428734" y="1052022"/>
          <a:ext cx="3505572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4:S18"/>
  <sheetViews>
    <sheetView topLeftCell="A3" workbookViewId="0">
      <selection activeCell="M26" sqref="M26"/>
    </sheetView>
  </sheetViews>
  <sheetFormatPr defaultColWidth="11" defaultRowHeight="15.75" x14ac:dyDescent="0.25"/>
  <cols>
    <col min="10" max="10" width="9.375" customWidth="1"/>
    <col min="11" max="11" width="12.75" customWidth="1"/>
  </cols>
  <sheetData>
    <row r="4" spans="2:19" x14ac:dyDescent="0.25">
      <c r="L4" t="s">
        <v>15</v>
      </c>
    </row>
    <row r="5" spans="2:19" x14ac:dyDescent="0.25">
      <c r="B5" t="s">
        <v>16</v>
      </c>
      <c r="C5" t="s">
        <v>0</v>
      </c>
      <c r="D5" t="s">
        <v>18</v>
      </c>
      <c r="E5" s="4" t="s">
        <v>17</v>
      </c>
      <c r="F5" t="s">
        <v>12</v>
      </c>
      <c r="G5" t="s">
        <v>13</v>
      </c>
      <c r="I5" t="s">
        <v>16</v>
      </c>
      <c r="J5" t="s">
        <v>19</v>
      </c>
      <c r="K5" s="4" t="s">
        <v>17</v>
      </c>
      <c r="L5" t="s">
        <v>12</v>
      </c>
      <c r="M5" t="s">
        <v>13</v>
      </c>
      <c r="O5" t="s">
        <v>20</v>
      </c>
      <c r="Q5" t="s">
        <v>21</v>
      </c>
    </row>
    <row r="6" spans="2:19" x14ac:dyDescent="0.25">
      <c r="B6" s="2">
        <v>595.80999999999995</v>
      </c>
      <c r="C6" s="1">
        <v>411.10889999999995</v>
      </c>
      <c r="D6" s="1">
        <v>399.99990000000003</v>
      </c>
      <c r="E6" s="5">
        <v>579.99801000000002</v>
      </c>
      <c r="F6" s="1">
        <f>658.37005+180</f>
        <v>838.37004999999999</v>
      </c>
      <c r="G6" s="8">
        <f>(F6-E6)/F6*100</f>
        <v>30.818376682229996</v>
      </c>
      <c r="I6" s="2">
        <v>595.80999999999995</v>
      </c>
      <c r="J6" s="1">
        <v>540.49033267000004</v>
      </c>
      <c r="K6" s="5">
        <v>540.49033267000004</v>
      </c>
      <c r="L6" s="1">
        <v>789.03698199999997</v>
      </c>
      <c r="M6" s="8">
        <f>(L6-K6)/L6*100</f>
        <v>31.499999999999989</v>
      </c>
      <c r="O6" s="1">
        <f>K6-E6</f>
        <v>-39.507677329999979</v>
      </c>
      <c r="Q6" s="10">
        <f>L6-F6</f>
        <v>-49.333068000000026</v>
      </c>
      <c r="S6" s="1"/>
    </row>
    <row r="7" spans="2:19" x14ac:dyDescent="0.25">
      <c r="B7" s="2">
        <v>676.33</v>
      </c>
      <c r="C7" s="1">
        <v>466.66770000000002</v>
      </c>
      <c r="D7" s="1">
        <v>450</v>
      </c>
      <c r="E7" s="5">
        <v>630.00093000000004</v>
      </c>
      <c r="F7" s="1">
        <f>747.34465+180</f>
        <v>927.34465</v>
      </c>
      <c r="G7" s="8">
        <f t="shared" ref="G7:G18" si="0">(F7-E7)/F7*100</f>
        <v>32.063992605122586</v>
      </c>
      <c r="I7" s="2">
        <v>676.33</v>
      </c>
      <c r="J7" s="1">
        <v>596.87100031</v>
      </c>
      <c r="K7" s="5">
        <v>596.87100031</v>
      </c>
      <c r="L7" s="1">
        <v>871.34452600000009</v>
      </c>
      <c r="M7" s="8">
        <f t="shared" ref="M7:M18" si="1">(L7-K7)/L7*100</f>
        <v>31.500000000000007</v>
      </c>
      <c r="O7" s="1">
        <f t="shared" ref="O7:O18" si="2">K7-E7</f>
        <v>-33.12992969000004</v>
      </c>
      <c r="Q7" s="10">
        <f t="shared" ref="Q7:Q18" si="3">L7-F7</f>
        <v>-56.000123999999914</v>
      </c>
    </row>
    <row r="8" spans="2:19" x14ac:dyDescent="0.25">
      <c r="B8" s="2">
        <v>998.39</v>
      </c>
      <c r="C8" s="1">
        <v>688.88909999999998</v>
      </c>
      <c r="D8" s="1">
        <v>650</v>
      </c>
      <c r="E8" s="5">
        <v>830</v>
      </c>
      <c r="F8" s="1">
        <f>1103.22+180</f>
        <v>1283.22</v>
      </c>
      <c r="G8" s="8">
        <f t="shared" si="0"/>
        <v>35.318963233116691</v>
      </c>
      <c r="I8" s="2">
        <v>998.39</v>
      </c>
      <c r="J8" s="6">
        <v>822.38</v>
      </c>
      <c r="K8" s="7">
        <v>819.47031005510007</v>
      </c>
      <c r="L8" s="1">
        <v>1200.5542580000001</v>
      </c>
      <c r="M8" s="8">
        <f t="shared" si="1"/>
        <v>31.742334459730849</v>
      </c>
      <c r="O8" s="1">
        <f t="shared" si="2"/>
        <v>-10.529689944899928</v>
      </c>
      <c r="Q8" s="10">
        <f t="shared" si="3"/>
        <v>-82.665741999999909</v>
      </c>
    </row>
    <row r="9" spans="2:19" x14ac:dyDescent="0.25">
      <c r="B9" s="2">
        <v>1159.42</v>
      </c>
      <c r="C9" s="1">
        <v>800</v>
      </c>
      <c r="D9" s="1">
        <v>750</v>
      </c>
      <c r="E9" s="5">
        <v>929.99982</v>
      </c>
      <c r="F9" s="1">
        <f>1281.1591+180</f>
        <v>1461.1591000000001</v>
      </c>
      <c r="G9" s="8">
        <f t="shared" si="0"/>
        <v>36.351912669879688</v>
      </c>
      <c r="I9" s="2">
        <v>1159.42</v>
      </c>
      <c r="J9" s="1">
        <v>935.13399993999997</v>
      </c>
      <c r="K9" s="5">
        <v>917.56657994779994</v>
      </c>
      <c r="L9" s="1">
        <v>1365.159124</v>
      </c>
      <c r="M9" s="8">
        <f t="shared" si="1"/>
        <v>32.786840463016972</v>
      </c>
      <c r="O9" s="1">
        <f t="shared" si="2"/>
        <v>-12.433240052200063</v>
      </c>
      <c r="Q9" s="10">
        <f t="shared" si="3"/>
        <v>-95.999976000000061</v>
      </c>
    </row>
    <row r="10" spans="2:19" x14ac:dyDescent="0.25">
      <c r="B10" s="2">
        <v>1320.45</v>
      </c>
      <c r="C10" s="1">
        <v>911.1105</v>
      </c>
      <c r="D10" s="1">
        <v>850</v>
      </c>
      <c r="E10" s="5">
        <v>1029.99945</v>
      </c>
      <c r="F10" s="1">
        <f>1459.09725+180</f>
        <v>1639.09725</v>
      </c>
      <c r="G10" s="8">
        <f t="shared" si="0"/>
        <v>37.160565061041986</v>
      </c>
      <c r="I10" s="2">
        <v>1320.45</v>
      </c>
      <c r="J10" s="1">
        <v>1047.8883331500001</v>
      </c>
      <c r="K10" s="5">
        <v>1015.6628498405001</v>
      </c>
      <c r="L10" s="1">
        <v>1529.7639900000001</v>
      </c>
      <c r="M10" s="8">
        <f t="shared" si="1"/>
        <v>33.606565687266567</v>
      </c>
      <c r="O10" s="1">
        <f t="shared" si="2"/>
        <v>-14.336600159499881</v>
      </c>
      <c r="Q10" s="10">
        <f t="shared" si="3"/>
        <v>-109.33325999999988</v>
      </c>
    </row>
    <row r="11" spans="2:19" x14ac:dyDescent="0.25">
      <c r="B11" s="2">
        <v>1562</v>
      </c>
      <c r="C11" s="1">
        <v>1077.78</v>
      </c>
      <c r="D11" s="1">
        <v>1000</v>
      </c>
      <c r="E11" s="5">
        <v>1180</v>
      </c>
      <c r="F11" s="1">
        <f>1726.01+180</f>
        <v>1906.01</v>
      </c>
      <c r="G11" s="8">
        <f t="shared" si="0"/>
        <v>38.090566156525938</v>
      </c>
      <c r="I11" s="2">
        <v>1562</v>
      </c>
      <c r="J11" s="1">
        <v>1217.023334</v>
      </c>
      <c r="K11" s="5">
        <v>1162.8103005799999</v>
      </c>
      <c r="L11" s="1">
        <v>1776.6764000000001</v>
      </c>
      <c r="M11" s="8">
        <f t="shared" si="1"/>
        <v>34.551373532062463</v>
      </c>
      <c r="O11" s="1">
        <f t="shared" si="2"/>
        <v>-17.189699420000125</v>
      </c>
      <c r="Q11" s="10">
        <f t="shared" si="3"/>
        <v>-129.33359999999993</v>
      </c>
    </row>
    <row r="12" spans="2:19" x14ac:dyDescent="0.25">
      <c r="B12" s="2">
        <v>2045.09</v>
      </c>
      <c r="C12" s="1">
        <v>1411.1120999999998</v>
      </c>
      <c r="D12" s="1">
        <v>1300</v>
      </c>
      <c r="E12" s="5">
        <v>1480.0008899999998</v>
      </c>
      <c r="F12" s="1">
        <f>2259.82445+180</f>
        <v>2439.8244500000001</v>
      </c>
      <c r="G12" s="8">
        <f t="shared" si="0"/>
        <v>39.339861521594322</v>
      </c>
      <c r="I12" s="2">
        <v>2045.09</v>
      </c>
      <c r="J12" s="1">
        <v>1555.2863336299997</v>
      </c>
      <c r="K12" s="5">
        <v>1457.0991102580997</v>
      </c>
      <c r="L12" s="1">
        <v>2270.4909979999998</v>
      </c>
      <c r="M12" s="8">
        <f t="shared" si="1"/>
        <v>35.82449296026234</v>
      </c>
      <c r="O12" s="1">
        <f t="shared" si="2"/>
        <v>-22.9017797419001</v>
      </c>
      <c r="Q12" s="10">
        <f t="shared" si="3"/>
        <v>-169.33345200000031</v>
      </c>
    </row>
    <row r="13" spans="2:19" x14ac:dyDescent="0.25">
      <c r="B13" s="2">
        <v>2367.15</v>
      </c>
      <c r="C13" s="1">
        <v>1633.3335000000002</v>
      </c>
      <c r="D13" s="1">
        <v>1500</v>
      </c>
      <c r="E13" s="5">
        <v>1680.0001500000001</v>
      </c>
      <c r="F13" s="1">
        <f>2615.7+180</f>
        <v>2795.7</v>
      </c>
      <c r="G13" s="8">
        <f t="shared" si="0"/>
        <v>39.907710054726898</v>
      </c>
      <c r="I13" s="2">
        <v>2367.15</v>
      </c>
      <c r="J13" s="1">
        <v>1780.79500005</v>
      </c>
      <c r="K13" s="5">
        <v>1653.2916500434999</v>
      </c>
      <c r="L13" s="1">
        <v>2599.70073</v>
      </c>
      <c r="M13" s="8">
        <f t="shared" si="1"/>
        <v>36.404539531613707</v>
      </c>
      <c r="O13" s="1">
        <f t="shared" si="2"/>
        <v>-26.708499956500191</v>
      </c>
      <c r="Q13" s="10">
        <f t="shared" si="3"/>
        <v>-195.9992699999998</v>
      </c>
    </row>
    <row r="14" spans="2:19" x14ac:dyDescent="0.25">
      <c r="B14" s="1">
        <v>2689.21</v>
      </c>
      <c r="C14" s="1">
        <v>1855.5549000000001</v>
      </c>
      <c r="D14" s="1">
        <v>1700</v>
      </c>
      <c r="E14" s="5">
        <v>1879.9994100000001</v>
      </c>
      <c r="F14" s="1">
        <f>2971.58+180</f>
        <v>3151.58</v>
      </c>
      <c r="G14" s="8">
        <f t="shared" si="0"/>
        <v>40.347400034268524</v>
      </c>
      <c r="I14" s="1">
        <v>2689.21</v>
      </c>
      <c r="J14" s="1">
        <v>2006.3036664699998</v>
      </c>
      <c r="K14" s="5">
        <v>1849.4841898288998</v>
      </c>
      <c r="L14" s="1">
        <v>2928.9104619999998</v>
      </c>
      <c r="M14" s="8">
        <f t="shared" si="1"/>
        <v>36.854191556064713</v>
      </c>
      <c r="O14" s="1">
        <f t="shared" si="2"/>
        <v>-30.515220171100282</v>
      </c>
      <c r="Q14" s="10">
        <f t="shared" si="3"/>
        <v>-222.6695380000001</v>
      </c>
    </row>
    <row r="15" spans="2:19" x14ac:dyDescent="0.25">
      <c r="B15" s="2">
        <v>3172.3</v>
      </c>
      <c r="C15" s="1">
        <v>2188.8870000000002</v>
      </c>
      <c r="D15" s="1">
        <v>2000</v>
      </c>
      <c r="E15" s="5">
        <v>2179.9983000000002</v>
      </c>
      <c r="F15" s="1">
        <f>3505.3915+180</f>
        <v>3685.3915000000002</v>
      </c>
      <c r="G15" s="8">
        <f t="shared" si="0"/>
        <v>40.847578880018581</v>
      </c>
      <c r="I15" s="2">
        <v>3172.3</v>
      </c>
      <c r="J15" s="1">
        <v>2344.5666661</v>
      </c>
      <c r="K15" s="5">
        <v>2143.7729995069999</v>
      </c>
      <c r="L15" s="1">
        <v>3422.7250600000002</v>
      </c>
      <c r="M15" s="8">
        <f t="shared" si="1"/>
        <v>37.366485419456978</v>
      </c>
      <c r="O15" s="1">
        <f t="shared" si="2"/>
        <v>-36.225300493000304</v>
      </c>
      <c r="Q15" s="10">
        <f t="shared" si="3"/>
        <v>-262.66643999999997</v>
      </c>
    </row>
    <row r="16" spans="2:19" x14ac:dyDescent="0.25">
      <c r="B16" s="2">
        <v>3977.45</v>
      </c>
      <c r="C16" s="1">
        <v>2744.4404999999997</v>
      </c>
      <c r="D16" s="1">
        <v>2500</v>
      </c>
      <c r="E16" s="5">
        <v>2679.9964499999996</v>
      </c>
      <c r="F16" s="1">
        <f>4395.08225+180</f>
        <v>4575.0822500000004</v>
      </c>
      <c r="G16" s="8">
        <f t="shared" si="0"/>
        <v>41.421895748431645</v>
      </c>
      <c r="I16" s="2">
        <v>3977.45</v>
      </c>
      <c r="J16" s="1">
        <v>2908.33833215</v>
      </c>
      <c r="K16" s="5">
        <v>2634.2543489704999</v>
      </c>
      <c r="L16" s="1">
        <v>4245.7493899999999</v>
      </c>
      <c r="M16" s="8">
        <f t="shared" si="1"/>
        <v>37.955491316210264</v>
      </c>
      <c r="O16" s="1">
        <f t="shared" si="2"/>
        <v>-45.742101029499736</v>
      </c>
      <c r="Q16" s="10">
        <f t="shared" si="3"/>
        <v>-329.33286000000044</v>
      </c>
    </row>
    <row r="17" spans="2:17" x14ac:dyDescent="0.25">
      <c r="B17" s="2">
        <v>4782.6099999999997</v>
      </c>
      <c r="C17" s="1">
        <v>3300.0008999999995</v>
      </c>
      <c r="D17" s="1">
        <v>3000</v>
      </c>
      <c r="E17" s="5">
        <v>3180.0008099999995</v>
      </c>
      <c r="F17" s="1">
        <f>5284.78405+180</f>
        <v>5464.7840500000002</v>
      </c>
      <c r="G17" s="8">
        <f t="shared" si="0"/>
        <v>41.809213668745073</v>
      </c>
      <c r="I17" s="2">
        <v>4782.6099999999997</v>
      </c>
      <c r="J17" s="1">
        <v>3472.1170002700001</v>
      </c>
      <c r="K17" s="5">
        <v>3124.7417902349002</v>
      </c>
      <c r="L17" s="1">
        <v>5068.783942</v>
      </c>
      <c r="M17" s="8">
        <f t="shared" si="1"/>
        <v>38.353225823194883</v>
      </c>
      <c r="O17" s="1">
        <f t="shared" si="2"/>
        <v>-55.25901976509931</v>
      </c>
      <c r="Q17" s="10">
        <f t="shared" si="3"/>
        <v>-396.00010800000018</v>
      </c>
    </row>
    <row r="18" spans="2:17" x14ac:dyDescent="0.25">
      <c r="B18" s="3">
        <v>6392.92</v>
      </c>
      <c r="C18" s="1">
        <v>4411.1147999999994</v>
      </c>
      <c r="D18" s="1">
        <v>4000</v>
      </c>
      <c r="E18" s="5">
        <v>4180.0033199999998</v>
      </c>
      <c r="F18" s="1">
        <f>7064.1766+180</f>
        <v>7244.1765999999998</v>
      </c>
      <c r="G18" s="8">
        <f t="shared" si="0"/>
        <v>42.298434303768907</v>
      </c>
      <c r="I18" s="3">
        <v>6392.92</v>
      </c>
      <c r="J18" s="1">
        <v>4599.6673344400006</v>
      </c>
      <c r="K18" s="5">
        <v>4105.7105809628001</v>
      </c>
      <c r="L18" s="1">
        <v>6714.8428240000003</v>
      </c>
      <c r="M18" s="8">
        <f t="shared" si="1"/>
        <v>38.856192340224467</v>
      </c>
      <c r="O18" s="1">
        <f t="shared" si="2"/>
        <v>-74.292739037199681</v>
      </c>
      <c r="Q18" s="10">
        <f t="shared" si="3"/>
        <v>-529.33377599999949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4:Q18"/>
  <sheetViews>
    <sheetView workbookViewId="0">
      <selection activeCell="E25" sqref="E25"/>
    </sheetView>
  </sheetViews>
  <sheetFormatPr defaultColWidth="11" defaultRowHeight="15.75" x14ac:dyDescent="0.25"/>
  <sheetData>
    <row r="4" spans="2:17" x14ac:dyDescent="0.25">
      <c r="L4" t="s">
        <v>15</v>
      </c>
    </row>
    <row r="5" spans="2:17" x14ac:dyDescent="0.25">
      <c r="B5" t="s">
        <v>16</v>
      </c>
      <c r="C5" t="s">
        <v>0</v>
      </c>
      <c r="D5" t="s">
        <v>18</v>
      </c>
      <c r="E5" s="4" t="s">
        <v>17</v>
      </c>
      <c r="F5" t="s">
        <v>12</v>
      </c>
      <c r="G5" t="s">
        <v>13</v>
      </c>
      <c r="I5" t="s">
        <v>16</v>
      </c>
      <c r="J5" t="s">
        <v>19</v>
      </c>
      <c r="K5" s="4" t="s">
        <v>17</v>
      </c>
      <c r="L5" t="s">
        <v>12</v>
      </c>
      <c r="M5" t="s">
        <v>13</v>
      </c>
      <c r="O5" t="s">
        <v>20</v>
      </c>
      <c r="Q5" t="s">
        <v>21</v>
      </c>
    </row>
    <row r="6" spans="2:17" x14ac:dyDescent="0.25">
      <c r="B6" s="2">
        <v>595.80999999999995</v>
      </c>
      <c r="C6" s="1">
        <v>411.10889999999995</v>
      </c>
      <c r="D6" s="1">
        <v>399.99990000000003</v>
      </c>
      <c r="E6" s="5">
        <v>579.99801000000002</v>
      </c>
      <c r="F6" s="1">
        <v>658.37004999999999</v>
      </c>
      <c r="G6" s="8">
        <f>(F6-D6)/F6*100</f>
        <v>39.24391001686665</v>
      </c>
      <c r="I6" s="2">
        <v>595.80999999999995</v>
      </c>
      <c r="J6" s="1">
        <v>540.49033267000004</v>
      </c>
      <c r="K6" s="5">
        <v>540.49033267000004</v>
      </c>
      <c r="L6" s="1">
        <v>789.03698199999997</v>
      </c>
      <c r="M6" s="8">
        <f>(L6-K6)/L6*100</f>
        <v>31.499999999999989</v>
      </c>
      <c r="O6" s="1">
        <f>K6-E6</f>
        <v>-39.507677329999979</v>
      </c>
      <c r="Q6" s="1">
        <f>L6-F6</f>
        <v>130.66693199999997</v>
      </c>
    </row>
    <row r="7" spans="2:17" x14ac:dyDescent="0.25">
      <c r="B7" s="2">
        <v>676.33</v>
      </c>
      <c r="C7" s="1">
        <v>466.66770000000002</v>
      </c>
      <c r="D7" s="1">
        <v>450</v>
      </c>
      <c r="E7" s="5">
        <v>630.00093000000004</v>
      </c>
      <c r="F7" s="1">
        <v>747.34465</v>
      </c>
      <c r="G7" s="8">
        <f t="shared" ref="G7:G18" si="0">(F7-D7)/F7*100</f>
        <v>39.786817233521376</v>
      </c>
      <c r="I7" s="2">
        <v>676.33</v>
      </c>
      <c r="J7" s="1">
        <v>596.87100031</v>
      </c>
      <c r="K7" s="5">
        <v>596.87100031</v>
      </c>
      <c r="L7" s="1">
        <v>871.34452600000009</v>
      </c>
      <c r="M7" s="8">
        <f t="shared" ref="M7:M18" si="1">(L7-K7)/L7*100</f>
        <v>31.500000000000007</v>
      </c>
      <c r="O7" s="1">
        <f t="shared" ref="O7:O18" si="2">K7-E7</f>
        <v>-33.12992969000004</v>
      </c>
      <c r="Q7" s="1">
        <f t="shared" ref="Q7:Q18" si="3">L7-F7</f>
        <v>123.99987600000009</v>
      </c>
    </row>
    <row r="8" spans="2:17" x14ac:dyDescent="0.25">
      <c r="B8" s="2">
        <v>998.39</v>
      </c>
      <c r="C8" s="1">
        <v>688.88909999999998</v>
      </c>
      <c r="D8" s="1">
        <v>650</v>
      </c>
      <c r="E8" s="5">
        <v>830</v>
      </c>
      <c r="F8" s="1">
        <v>1103.22</v>
      </c>
      <c r="G8" s="8">
        <f t="shared" si="0"/>
        <v>41.081561247983181</v>
      </c>
      <c r="I8" s="2">
        <v>998.39</v>
      </c>
      <c r="J8" s="6">
        <v>822.38</v>
      </c>
      <c r="K8" s="7">
        <v>819.47031005510007</v>
      </c>
      <c r="L8" s="1">
        <v>1200.5542580000001</v>
      </c>
      <c r="M8" s="8">
        <f t="shared" si="1"/>
        <v>31.742334459730849</v>
      </c>
      <c r="O8" s="1">
        <f t="shared" si="2"/>
        <v>-10.529689944899928</v>
      </c>
      <c r="Q8" s="1">
        <f t="shared" si="3"/>
        <v>97.334258000000091</v>
      </c>
    </row>
    <row r="9" spans="2:17" x14ac:dyDescent="0.25">
      <c r="B9" s="2">
        <v>1159.42</v>
      </c>
      <c r="C9" s="1">
        <v>800</v>
      </c>
      <c r="D9" s="1">
        <v>750</v>
      </c>
      <c r="E9" s="5">
        <v>929.99982</v>
      </c>
      <c r="F9" s="1">
        <v>1281.1591000000001</v>
      </c>
      <c r="G9" s="8">
        <f t="shared" si="0"/>
        <v>41.459261382914896</v>
      </c>
      <c r="I9" s="2">
        <v>1159.42</v>
      </c>
      <c r="J9" s="1">
        <v>935.13399993999997</v>
      </c>
      <c r="K9" s="5">
        <v>917.56657994779994</v>
      </c>
      <c r="L9" s="1">
        <v>1365.159124</v>
      </c>
      <c r="M9" s="8">
        <f t="shared" si="1"/>
        <v>32.786840463016972</v>
      </c>
      <c r="O9" s="1">
        <f t="shared" si="2"/>
        <v>-12.433240052200063</v>
      </c>
      <c r="Q9" s="1">
        <f t="shared" si="3"/>
        <v>84.000023999999939</v>
      </c>
    </row>
    <row r="10" spans="2:17" x14ac:dyDescent="0.25">
      <c r="B10" s="2">
        <v>1320.45</v>
      </c>
      <c r="C10" s="1">
        <v>911.1105</v>
      </c>
      <c r="D10" s="1">
        <v>850</v>
      </c>
      <c r="E10" s="5">
        <v>1029.99945</v>
      </c>
      <c r="F10" s="1">
        <v>1459.09725</v>
      </c>
      <c r="G10" s="8">
        <f t="shared" si="0"/>
        <v>41.744801451719546</v>
      </c>
      <c r="I10" s="2">
        <v>1320.45</v>
      </c>
      <c r="J10" s="1">
        <v>1047.8883331500001</v>
      </c>
      <c r="K10" s="5">
        <v>1015.6628498405001</v>
      </c>
      <c r="L10" s="1">
        <v>1529.7639900000001</v>
      </c>
      <c r="M10" s="8">
        <f t="shared" si="1"/>
        <v>33.606565687266567</v>
      </c>
      <c r="O10" s="1">
        <f t="shared" si="2"/>
        <v>-14.336600159499881</v>
      </c>
      <c r="Q10" s="1">
        <f t="shared" si="3"/>
        <v>70.666740000000118</v>
      </c>
    </row>
    <row r="11" spans="2:17" x14ac:dyDescent="0.25">
      <c r="B11" s="2">
        <v>1562</v>
      </c>
      <c r="C11" s="1">
        <v>1077.78</v>
      </c>
      <c r="D11" s="1">
        <v>1000</v>
      </c>
      <c r="E11" s="5">
        <v>1180</v>
      </c>
      <c r="F11" s="1">
        <v>1726.01</v>
      </c>
      <c r="G11" s="8">
        <f t="shared" si="0"/>
        <v>42.062908094391112</v>
      </c>
      <c r="I11" s="2">
        <v>1562</v>
      </c>
      <c r="J11" s="1">
        <v>1217.023334</v>
      </c>
      <c r="K11" s="5">
        <v>1162.8103005799999</v>
      </c>
      <c r="L11" s="1">
        <v>1776.6764000000001</v>
      </c>
      <c r="M11" s="8">
        <f t="shared" si="1"/>
        <v>34.551373532062463</v>
      </c>
      <c r="O11" s="1">
        <f t="shared" si="2"/>
        <v>-17.189699420000125</v>
      </c>
      <c r="Q11" s="1">
        <f t="shared" si="3"/>
        <v>50.666400000000067</v>
      </c>
    </row>
    <row r="12" spans="2:17" x14ac:dyDescent="0.25">
      <c r="B12" s="2">
        <v>2045.09</v>
      </c>
      <c r="C12" s="1">
        <v>1411.1120999999998</v>
      </c>
      <c r="D12" s="1">
        <v>1300</v>
      </c>
      <c r="E12" s="5">
        <v>1480.0008899999998</v>
      </c>
      <c r="F12" s="1">
        <v>2259.8244500000001</v>
      </c>
      <c r="G12" s="8">
        <f t="shared" si="0"/>
        <v>42.473407613586978</v>
      </c>
      <c r="I12" s="2">
        <v>2045.09</v>
      </c>
      <c r="J12" s="1">
        <v>1555.2863336299997</v>
      </c>
      <c r="K12" s="5">
        <v>1457.0991102580997</v>
      </c>
      <c r="L12" s="1">
        <v>2270.4909979999998</v>
      </c>
      <c r="M12" s="8">
        <f t="shared" si="1"/>
        <v>35.82449296026234</v>
      </c>
      <c r="O12" s="1">
        <f t="shared" si="2"/>
        <v>-22.9017797419001</v>
      </c>
      <c r="Q12" s="1">
        <f t="shared" si="3"/>
        <v>10.666547999999693</v>
      </c>
    </row>
    <row r="13" spans="2:17" x14ac:dyDescent="0.25">
      <c r="B13" s="2">
        <v>2367.15</v>
      </c>
      <c r="C13" s="1">
        <v>1633.3335000000002</v>
      </c>
      <c r="D13" s="1">
        <v>1500</v>
      </c>
      <c r="E13" s="5">
        <v>1680.0001500000001</v>
      </c>
      <c r="F13" s="1">
        <v>2615.6999999999998</v>
      </c>
      <c r="G13" s="8">
        <f t="shared" si="0"/>
        <v>42.653974079596281</v>
      </c>
      <c r="I13" s="2">
        <v>2367.15</v>
      </c>
      <c r="J13" s="1">
        <v>1780.79500005</v>
      </c>
      <c r="K13" s="5">
        <v>1653.2916500434999</v>
      </c>
      <c r="L13" s="1">
        <v>2599.70073</v>
      </c>
      <c r="M13" s="8">
        <f t="shared" si="1"/>
        <v>36.404539531613707</v>
      </c>
      <c r="O13" s="1">
        <f t="shared" si="2"/>
        <v>-26.708499956500191</v>
      </c>
      <c r="Q13" s="1">
        <f t="shared" si="3"/>
        <v>-15.999269999999797</v>
      </c>
    </row>
    <row r="14" spans="2:17" x14ac:dyDescent="0.25">
      <c r="B14" s="1">
        <v>2689.21</v>
      </c>
      <c r="C14" s="1">
        <v>1855.5549000000001</v>
      </c>
      <c r="D14" s="1">
        <v>1700</v>
      </c>
      <c r="E14" s="5">
        <v>1879.9994100000001</v>
      </c>
      <c r="F14" s="1">
        <v>2971.58</v>
      </c>
      <c r="G14" s="8">
        <f t="shared" si="0"/>
        <v>42.791376977904008</v>
      </c>
      <c r="I14" s="1">
        <v>2689.21</v>
      </c>
      <c r="J14" s="1">
        <v>2006.3036664699998</v>
      </c>
      <c r="K14" s="5">
        <v>1849.4841898288998</v>
      </c>
      <c r="L14" s="1">
        <v>2928.9104619999998</v>
      </c>
      <c r="M14" s="8">
        <f t="shared" si="1"/>
        <v>36.854191556064713</v>
      </c>
      <c r="O14" s="1">
        <f t="shared" si="2"/>
        <v>-30.515220171100282</v>
      </c>
      <c r="Q14" s="9">
        <f t="shared" si="3"/>
        <v>-42.669538000000102</v>
      </c>
    </row>
    <row r="15" spans="2:17" x14ac:dyDescent="0.25">
      <c r="B15" s="2">
        <v>3172.3</v>
      </c>
      <c r="C15" s="1">
        <v>2188.8870000000002</v>
      </c>
      <c r="D15" s="1">
        <v>2000</v>
      </c>
      <c r="E15" s="5">
        <v>2179.9983000000002</v>
      </c>
      <c r="F15" s="1">
        <v>3505.3915000000002</v>
      </c>
      <c r="G15" s="8">
        <f t="shared" si="0"/>
        <v>42.945031960053534</v>
      </c>
      <c r="I15" s="2">
        <v>3172.3</v>
      </c>
      <c r="J15" s="1">
        <v>2344.5666661</v>
      </c>
      <c r="K15" s="5">
        <v>2143.7729995069999</v>
      </c>
      <c r="L15" s="1">
        <v>3422.7250600000002</v>
      </c>
      <c r="M15" s="8">
        <f t="shared" si="1"/>
        <v>37.366485419456978</v>
      </c>
      <c r="O15" s="1">
        <f t="shared" si="2"/>
        <v>-36.225300493000304</v>
      </c>
      <c r="Q15" s="9">
        <f t="shared" si="3"/>
        <v>-82.666439999999966</v>
      </c>
    </row>
    <row r="16" spans="2:17" x14ac:dyDescent="0.25">
      <c r="B16" s="2">
        <v>3977.45</v>
      </c>
      <c r="C16" s="1">
        <v>2744.4404999999997</v>
      </c>
      <c r="D16" s="1">
        <v>2500</v>
      </c>
      <c r="E16" s="5">
        <v>2679.9964499999996</v>
      </c>
      <c r="F16" s="1">
        <v>4395.0822499999995</v>
      </c>
      <c r="G16" s="8">
        <f t="shared" si="0"/>
        <v>43.118243122753839</v>
      </c>
      <c r="I16" s="2">
        <v>3977.45</v>
      </c>
      <c r="J16" s="1">
        <v>2908.33833215</v>
      </c>
      <c r="K16" s="5">
        <v>2634.2543489704999</v>
      </c>
      <c r="L16" s="1">
        <v>4245.7493899999999</v>
      </c>
      <c r="M16" s="8">
        <f t="shared" si="1"/>
        <v>37.955491316210264</v>
      </c>
      <c r="O16" s="1">
        <f t="shared" si="2"/>
        <v>-45.742101029499736</v>
      </c>
      <c r="Q16" s="9">
        <f t="shared" si="3"/>
        <v>-149.33285999999953</v>
      </c>
    </row>
    <row r="17" spans="2:17" x14ac:dyDescent="0.25">
      <c r="B17" s="2">
        <v>4782.6099999999997</v>
      </c>
      <c r="C17" s="1">
        <v>3300.0008999999995</v>
      </c>
      <c r="D17" s="1">
        <v>3000</v>
      </c>
      <c r="E17" s="5">
        <v>3180.0008099999995</v>
      </c>
      <c r="F17" s="1">
        <v>5284.7840499999993</v>
      </c>
      <c r="G17" s="8">
        <f t="shared" si="0"/>
        <v>43.233252832724538</v>
      </c>
      <c r="I17" s="2">
        <v>4782.6099999999997</v>
      </c>
      <c r="J17" s="1">
        <v>3472.1170002700001</v>
      </c>
      <c r="K17" s="5">
        <v>3124.7417902349002</v>
      </c>
      <c r="L17" s="1">
        <v>5068.783942</v>
      </c>
      <c r="M17" s="8">
        <f t="shared" si="1"/>
        <v>38.353225823194883</v>
      </c>
      <c r="O17" s="1">
        <f t="shared" si="2"/>
        <v>-55.25901976509931</v>
      </c>
      <c r="Q17" s="9">
        <f t="shared" si="3"/>
        <v>-216.00010799999927</v>
      </c>
    </row>
    <row r="18" spans="2:17" x14ac:dyDescent="0.25">
      <c r="B18" s="3">
        <v>6392.92</v>
      </c>
      <c r="C18" s="1">
        <v>4411.1147999999994</v>
      </c>
      <c r="D18" s="1">
        <v>4000</v>
      </c>
      <c r="E18" s="5">
        <v>4180.0033199999998</v>
      </c>
      <c r="F18" s="1">
        <v>7064.1765999999998</v>
      </c>
      <c r="G18" s="8">
        <f t="shared" si="0"/>
        <v>43.376274030295335</v>
      </c>
      <c r="I18" s="3">
        <v>6392.92</v>
      </c>
      <c r="J18" s="1">
        <v>4599.6673344400006</v>
      </c>
      <c r="K18" s="5">
        <v>4105.7105809628001</v>
      </c>
      <c r="L18" s="1">
        <v>6714.8428240000003</v>
      </c>
      <c r="M18" s="8">
        <f t="shared" si="1"/>
        <v>38.856192340224467</v>
      </c>
      <c r="O18" s="1">
        <f t="shared" si="2"/>
        <v>-74.292739037199681</v>
      </c>
      <c r="Q18" s="9">
        <f t="shared" si="3"/>
        <v>-349.33377599999949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N44"/>
  <sheetViews>
    <sheetView tabSelected="1" zoomScale="83" zoomScaleNormal="83" workbookViewId="0">
      <selection activeCell="B7" sqref="B7"/>
    </sheetView>
  </sheetViews>
  <sheetFormatPr defaultColWidth="9" defaultRowHeight="15" x14ac:dyDescent="0.25"/>
  <cols>
    <col min="1" max="1" width="42.625" style="14" customWidth="1"/>
    <col min="2" max="2" width="35.25" style="14" customWidth="1"/>
    <col min="3" max="3" width="12.5" style="14" customWidth="1"/>
    <col min="4" max="4" width="15.75" style="14" customWidth="1"/>
    <col min="5" max="5" width="12.375" style="14" customWidth="1"/>
    <col min="6" max="6" width="11.875" style="14" customWidth="1"/>
    <col min="7" max="7" width="17.125" style="14" customWidth="1"/>
    <col min="8" max="8" width="10.75" style="14" customWidth="1"/>
    <col min="9" max="9" width="17.25" style="14" customWidth="1"/>
    <col min="10" max="11" width="12.5" style="14" customWidth="1"/>
    <col min="12" max="16384" width="9" style="14"/>
  </cols>
  <sheetData>
    <row r="1" spans="1:11" x14ac:dyDescent="0.25">
      <c r="A1" s="107" t="s">
        <v>22</v>
      </c>
      <c r="B1" s="108"/>
      <c r="C1" s="108"/>
      <c r="D1" s="108"/>
      <c r="E1" s="108"/>
      <c r="F1" s="108"/>
      <c r="G1" s="108"/>
      <c r="H1" s="108"/>
      <c r="I1" s="109"/>
    </row>
    <row r="2" spans="1:11" x14ac:dyDescent="0.25">
      <c r="A2" s="110"/>
      <c r="B2" s="111"/>
      <c r="C2" s="111"/>
      <c r="D2" s="111"/>
      <c r="E2" s="111"/>
      <c r="F2" s="111"/>
      <c r="G2" s="111"/>
      <c r="H2" s="111"/>
      <c r="I2" s="112"/>
    </row>
    <row r="3" spans="1:11" ht="15.75" customHeight="1" x14ac:dyDescent="0.25">
      <c r="A3" s="65"/>
      <c r="B3" s="65"/>
      <c r="C3" s="65"/>
      <c r="D3" s="65"/>
      <c r="E3" s="65"/>
      <c r="F3" s="65"/>
      <c r="G3" s="65"/>
      <c r="H3" s="65"/>
      <c r="I3" s="65"/>
    </row>
    <row r="4" spans="1:11" ht="16.5" customHeight="1" thickBot="1" x14ac:dyDescent="0.3">
      <c r="A4" s="114" t="s">
        <v>38</v>
      </c>
      <c r="B4" s="115"/>
      <c r="C4" s="65"/>
      <c r="D4" s="65"/>
      <c r="E4" s="65"/>
      <c r="F4" s="65"/>
      <c r="G4" s="65"/>
      <c r="H4" s="65"/>
      <c r="I4" s="65"/>
    </row>
    <row r="5" spans="1:11" ht="21.6" customHeight="1" thickBot="1" x14ac:dyDescent="0.3">
      <c r="A5" s="70" t="s">
        <v>49</v>
      </c>
      <c r="B5" s="72">
        <v>0</v>
      </c>
      <c r="C5" s="65"/>
      <c r="D5" s="65"/>
      <c r="E5" s="65"/>
      <c r="F5" s="65"/>
      <c r="G5" s="65"/>
      <c r="H5" s="65"/>
      <c r="I5" s="65"/>
    </row>
    <row r="6" spans="1:11" x14ac:dyDescent="0.25">
      <c r="A6" s="71" t="s">
        <v>24</v>
      </c>
      <c r="B6" s="66">
        <v>0</v>
      </c>
      <c r="C6" s="13"/>
      <c r="D6" s="13"/>
      <c r="E6" s="13"/>
      <c r="F6" s="13"/>
      <c r="G6" s="13"/>
      <c r="H6" s="13"/>
      <c r="I6" s="13"/>
      <c r="J6" s="13"/>
      <c r="K6" s="13"/>
    </row>
    <row r="7" spans="1:11" ht="15.75" customHeight="1" x14ac:dyDescent="0.25">
      <c r="A7" s="71" t="s">
        <v>25</v>
      </c>
      <c r="B7" s="66">
        <v>0</v>
      </c>
      <c r="C7" s="13"/>
      <c r="D7" s="13"/>
      <c r="E7" s="13"/>
      <c r="F7" s="13"/>
      <c r="G7" s="13"/>
      <c r="H7" s="13"/>
      <c r="I7" s="13"/>
      <c r="J7" s="13"/>
      <c r="K7" s="13"/>
    </row>
    <row r="8" spans="1:11" ht="15.75" customHeight="1" x14ac:dyDescent="0.25">
      <c r="A8" s="71" t="s">
        <v>26</v>
      </c>
      <c r="B8" s="67">
        <v>0</v>
      </c>
      <c r="C8" s="13"/>
      <c r="D8" s="13"/>
      <c r="E8" s="13"/>
      <c r="F8" s="13"/>
      <c r="G8" s="13"/>
      <c r="H8" s="13"/>
      <c r="I8" s="13"/>
      <c r="J8" s="13"/>
      <c r="K8" s="13"/>
    </row>
    <row r="9" spans="1:11" ht="15.75" customHeight="1" x14ac:dyDescent="0.25">
      <c r="A9" s="71" t="s">
        <v>27</v>
      </c>
      <c r="B9" s="67">
        <v>0</v>
      </c>
      <c r="C9" s="13"/>
      <c r="D9" s="13"/>
      <c r="E9" s="13"/>
      <c r="F9" s="13"/>
      <c r="G9" s="13"/>
      <c r="H9" s="13"/>
      <c r="I9" s="13"/>
      <c r="J9" s="13"/>
      <c r="K9" s="13"/>
    </row>
    <row r="10" spans="1:11" ht="15.75" customHeight="1" x14ac:dyDescent="0.25">
      <c r="A10" s="71" t="s">
        <v>28</v>
      </c>
      <c r="B10" s="67">
        <v>1</v>
      </c>
      <c r="C10" s="63" t="s">
        <v>48</v>
      </c>
      <c r="D10" s="13"/>
      <c r="E10" s="13"/>
      <c r="F10" s="13"/>
      <c r="G10" s="13"/>
      <c r="H10" s="13"/>
      <c r="I10" s="13"/>
      <c r="J10" s="13"/>
      <c r="K10" s="13"/>
    </row>
    <row r="11" spans="1:11" x14ac:dyDescent="0.25">
      <c r="A11" s="64" t="s">
        <v>50</v>
      </c>
      <c r="B11" s="68">
        <f>B5-(B6+B7+B8+B9)</f>
        <v>0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5">
      <c r="A12" s="64" t="s">
        <v>23</v>
      </c>
      <c r="B12" s="69">
        <f>D26</f>
        <v>0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15" customHeight="1" x14ac:dyDescent="0.25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33" customHeight="1" x14ac:dyDescent="0.25">
      <c r="A14" s="11"/>
      <c r="B14" s="73"/>
      <c r="C14" s="99" t="s">
        <v>11</v>
      </c>
      <c r="D14" s="100" t="s">
        <v>1</v>
      </c>
      <c r="E14" s="100" t="s">
        <v>29</v>
      </c>
      <c r="F14" s="118" t="s">
        <v>30</v>
      </c>
      <c r="G14" s="119"/>
      <c r="H14" s="120" t="s">
        <v>31</v>
      </c>
      <c r="I14" s="121"/>
      <c r="J14" s="13"/>
      <c r="K14" s="13"/>
    </row>
    <row r="15" spans="1:11" ht="18.75" thickBot="1" x14ac:dyDescent="0.3">
      <c r="A15" s="13"/>
      <c r="B15" s="77" t="s">
        <v>37</v>
      </c>
      <c r="C15" s="78">
        <f>D34</f>
        <v>0</v>
      </c>
      <c r="D15" s="79">
        <f>D28</f>
        <v>0</v>
      </c>
      <c r="E15" s="78">
        <f>D33+D38</f>
        <v>0</v>
      </c>
      <c r="F15" s="74">
        <f>D40</f>
        <v>0</v>
      </c>
      <c r="G15" s="80"/>
      <c r="H15" s="81">
        <f>D39</f>
        <v>0</v>
      </c>
      <c r="I15" s="82"/>
      <c r="J15" s="13"/>
      <c r="K15" s="13"/>
    </row>
    <row r="16" spans="1:11" ht="16.5" customHeight="1" thickTop="1" thickBot="1" x14ac:dyDescent="0.3">
      <c r="A16" s="13"/>
      <c r="B16" s="83" t="s">
        <v>39</v>
      </c>
      <c r="C16" s="84">
        <f>I34</f>
        <v>0</v>
      </c>
      <c r="D16" s="85">
        <f>I28</f>
        <v>0</v>
      </c>
      <c r="E16" s="85">
        <f>I33</f>
        <v>0</v>
      </c>
      <c r="F16" s="101">
        <f>I40</f>
        <v>0</v>
      </c>
      <c r="G16" s="86">
        <f>F16-F15</f>
        <v>0</v>
      </c>
      <c r="H16" s="104">
        <f>I39</f>
        <v>0</v>
      </c>
      <c r="I16" s="86">
        <f>H16-H15</f>
        <v>0</v>
      </c>
      <c r="J16" s="13"/>
      <c r="K16" s="13"/>
    </row>
    <row r="17" spans="1:14" ht="3" customHeight="1" thickTop="1" thickBot="1" x14ac:dyDescent="0.3">
      <c r="A17" s="13"/>
      <c r="B17" s="83"/>
      <c r="C17" s="84"/>
      <c r="D17" s="85"/>
      <c r="E17" s="85"/>
      <c r="F17" s="75"/>
      <c r="G17" s="88"/>
      <c r="H17" s="87"/>
      <c r="I17" s="88"/>
      <c r="J17" s="13"/>
      <c r="K17" s="13"/>
    </row>
    <row r="18" spans="1:14" ht="19.5" thickTop="1" thickBot="1" x14ac:dyDescent="0.3">
      <c r="A18" s="13"/>
      <c r="B18" s="89" t="s">
        <v>35</v>
      </c>
      <c r="C18" s="90">
        <f>J34</f>
        <v>0</v>
      </c>
      <c r="D18" s="90">
        <f>J28</f>
        <v>0</v>
      </c>
      <c r="E18" s="90">
        <f>J33</f>
        <v>0</v>
      </c>
      <c r="F18" s="76">
        <f>J40</f>
        <v>0</v>
      </c>
      <c r="G18" s="88">
        <f>F18-F15</f>
        <v>0</v>
      </c>
      <c r="H18" s="103">
        <f>J39</f>
        <v>0</v>
      </c>
      <c r="I18" s="92">
        <f>H18-H15</f>
        <v>0</v>
      </c>
      <c r="J18" s="13"/>
      <c r="K18" s="13"/>
    </row>
    <row r="19" spans="1:14" ht="3" customHeight="1" thickTop="1" thickBot="1" x14ac:dyDescent="0.3">
      <c r="A19" s="13"/>
      <c r="B19" s="89"/>
      <c r="C19" s="90"/>
      <c r="D19" s="90"/>
      <c r="E19" s="90"/>
      <c r="F19" s="76"/>
      <c r="G19" s="88"/>
      <c r="H19" s="91"/>
      <c r="I19" s="88"/>
      <c r="J19" s="13"/>
      <c r="K19" s="13"/>
    </row>
    <row r="20" spans="1:14" ht="16.5" customHeight="1" thickTop="1" thickBot="1" x14ac:dyDescent="0.3">
      <c r="A20" s="13"/>
      <c r="B20" s="93" t="s">
        <v>36</v>
      </c>
      <c r="C20" s="94">
        <f>K34</f>
        <v>0</v>
      </c>
      <c r="D20" s="95">
        <f>K28</f>
        <v>0</v>
      </c>
      <c r="E20" s="94">
        <f>K33</f>
        <v>0</v>
      </c>
      <c r="F20" s="102">
        <f>K40</f>
        <v>0</v>
      </c>
      <c r="G20" s="96">
        <f>F20-F15</f>
        <v>0</v>
      </c>
      <c r="H20" s="97">
        <f>K39</f>
        <v>0</v>
      </c>
      <c r="I20" s="98">
        <f>H20-H15</f>
        <v>0</v>
      </c>
      <c r="J20" s="16"/>
      <c r="K20" s="16"/>
    </row>
    <row r="21" spans="1:14" ht="16.5" customHeight="1" thickTop="1" x14ac:dyDescent="0.25">
      <c r="A21" s="13"/>
      <c r="B21" s="17"/>
      <c r="C21" s="17"/>
      <c r="D21" s="18"/>
      <c r="E21" s="17"/>
      <c r="F21" s="17"/>
      <c r="G21" s="17"/>
      <c r="H21" s="18"/>
      <c r="I21" s="16"/>
      <c r="J21" s="16"/>
      <c r="K21" s="16"/>
    </row>
    <row r="22" spans="1:14" ht="16.5" customHeight="1" x14ac:dyDescent="0.25">
      <c r="A22" s="13"/>
      <c r="B22" s="17"/>
      <c r="C22" s="17"/>
      <c r="D22" s="18"/>
      <c r="E22" s="17"/>
      <c r="F22" s="17"/>
      <c r="G22" s="17"/>
      <c r="H22" s="18"/>
      <c r="I22" s="16"/>
      <c r="J22" s="16"/>
      <c r="K22" s="16"/>
    </row>
    <row r="23" spans="1:14" ht="28.5" customHeight="1" x14ac:dyDescent="0.35">
      <c r="A23" s="117" t="s">
        <v>32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M23" s="19"/>
      <c r="N23" s="19"/>
    </row>
    <row r="24" spans="1:14" x14ac:dyDescent="0.25">
      <c r="A24" s="13" t="s">
        <v>32</v>
      </c>
      <c r="B24" s="20"/>
      <c r="C24" s="21"/>
      <c r="D24" s="21"/>
      <c r="E24" s="21"/>
      <c r="F24" s="21"/>
      <c r="G24" s="21"/>
      <c r="H24" s="21"/>
      <c r="I24" s="15"/>
      <c r="J24" s="15"/>
      <c r="K24" s="15"/>
    </row>
    <row r="25" spans="1:14" x14ac:dyDescent="0.25">
      <c r="A25" s="113" t="s">
        <v>37</v>
      </c>
      <c r="B25" s="113"/>
      <c r="C25" s="113"/>
      <c r="D25" s="113"/>
      <c r="E25" s="116" t="s">
        <v>43</v>
      </c>
      <c r="F25" s="116"/>
      <c r="G25" s="116"/>
      <c r="H25" s="116"/>
      <c r="I25" s="22" t="s">
        <v>44</v>
      </c>
      <c r="J25" s="23" t="s">
        <v>41</v>
      </c>
      <c r="K25" s="24" t="s">
        <v>42</v>
      </c>
      <c r="L25" s="22"/>
      <c r="M25" s="22"/>
    </row>
    <row r="26" spans="1:14" x14ac:dyDescent="0.25">
      <c r="A26" s="13" t="s">
        <v>0</v>
      </c>
      <c r="B26" s="13"/>
      <c r="C26" s="13"/>
      <c r="D26" s="15">
        <f>B11+D28</f>
        <v>0</v>
      </c>
      <c r="E26" s="25" t="s">
        <v>33</v>
      </c>
      <c r="F26" s="13"/>
      <c r="G26" s="13"/>
      <c r="H26" s="13"/>
      <c r="I26" s="26">
        <f>I34-I33</f>
        <v>0</v>
      </c>
      <c r="J26" s="27">
        <f>MAX(J29,((J29-104)/0.87))</f>
        <v>0</v>
      </c>
      <c r="K26" s="28">
        <f>K34-K33</f>
        <v>0</v>
      </c>
      <c r="M26" s="19"/>
    </row>
    <row r="27" spans="1:14" x14ac:dyDescent="0.25">
      <c r="A27" s="13" t="s">
        <v>34</v>
      </c>
      <c r="B27" s="13"/>
      <c r="C27" s="13"/>
      <c r="D27" s="15">
        <f>300*B10</f>
        <v>300</v>
      </c>
      <c r="E27" s="25" t="s">
        <v>40</v>
      </c>
      <c r="F27" s="13"/>
      <c r="G27" s="13"/>
      <c r="H27" s="13"/>
      <c r="I27" s="122">
        <v>800</v>
      </c>
      <c r="J27" s="123"/>
      <c r="K27" s="124"/>
      <c r="M27" s="19"/>
    </row>
    <row r="28" spans="1:14" x14ac:dyDescent="0.25">
      <c r="A28" s="29" t="s">
        <v>1</v>
      </c>
      <c r="B28" s="30"/>
      <c r="C28" s="30"/>
      <c r="D28" s="31">
        <f>MAX(0,((B11-(B10*30))/0.9)-B11)</f>
        <v>0</v>
      </c>
      <c r="E28" s="32" t="s">
        <v>1</v>
      </c>
      <c r="F28" s="33"/>
      <c r="G28" s="33"/>
      <c r="H28" s="30"/>
      <c r="I28" s="34">
        <f>MAX(0,((I26-800))*0.13)</f>
        <v>0</v>
      </c>
      <c r="J28" s="35">
        <f>MAX(0,((J26-800))*0.13)</f>
        <v>0</v>
      </c>
      <c r="K28" s="36">
        <f>MAX(0,((K26-800))*0.13)</f>
        <v>0</v>
      </c>
      <c r="M28" s="19"/>
    </row>
    <row r="29" spans="1:14" x14ac:dyDescent="0.25">
      <c r="A29" s="37" t="s">
        <v>2</v>
      </c>
      <c r="B29" s="37"/>
      <c r="C29" s="37"/>
      <c r="D29" s="38">
        <f>B11</f>
        <v>0</v>
      </c>
      <c r="E29" s="32" t="s">
        <v>2</v>
      </c>
      <c r="F29" s="33"/>
      <c r="G29" s="33"/>
      <c r="H29" s="39"/>
      <c r="I29" s="40">
        <f>I26-I28</f>
        <v>0</v>
      </c>
      <c r="J29" s="27">
        <f>J40</f>
        <v>0</v>
      </c>
      <c r="K29" s="41">
        <f>K26-K28</f>
        <v>0</v>
      </c>
      <c r="M29" s="19"/>
    </row>
    <row r="30" spans="1:14" x14ac:dyDescent="0.25">
      <c r="A30" s="42" t="s">
        <v>3</v>
      </c>
      <c r="B30" s="42"/>
      <c r="C30" s="43">
        <v>0.17</v>
      </c>
      <c r="D30" s="44">
        <f>D34*C30</f>
        <v>0</v>
      </c>
      <c r="E30" s="45" t="s">
        <v>3</v>
      </c>
      <c r="F30" s="42"/>
      <c r="G30" s="42"/>
      <c r="H30" s="46">
        <v>0.18</v>
      </c>
      <c r="I30" s="47">
        <f>I34*H30</f>
        <v>0</v>
      </c>
      <c r="J30" s="35">
        <f>J34*H30</f>
        <v>0</v>
      </c>
      <c r="K30" s="36">
        <f>K34*H30</f>
        <v>0</v>
      </c>
    </row>
    <row r="31" spans="1:14" x14ac:dyDescent="0.25">
      <c r="A31" s="13" t="s">
        <v>4</v>
      </c>
      <c r="B31" s="13"/>
      <c r="C31" s="48">
        <v>0.125</v>
      </c>
      <c r="D31" s="44">
        <f>D34*C31</f>
        <v>0</v>
      </c>
      <c r="E31" s="25" t="s">
        <v>4</v>
      </c>
      <c r="F31" s="13"/>
      <c r="G31" s="13"/>
      <c r="H31" s="48">
        <v>0.13500000000000001</v>
      </c>
      <c r="I31" s="47">
        <f>I34*H31</f>
        <v>0</v>
      </c>
      <c r="J31" s="35">
        <f>J34*H31</f>
        <v>0</v>
      </c>
      <c r="K31" s="36">
        <f>K34*H31</f>
        <v>0</v>
      </c>
    </row>
    <row r="32" spans="1:14" x14ac:dyDescent="0.25">
      <c r="A32" s="13" t="s">
        <v>5</v>
      </c>
      <c r="B32" s="13"/>
      <c r="C32" s="48">
        <v>1.4999999999999999E-2</v>
      </c>
      <c r="D32" s="44">
        <f>D34*C32</f>
        <v>0</v>
      </c>
      <c r="E32" s="25" t="s">
        <v>5</v>
      </c>
      <c r="F32" s="13"/>
      <c r="G32" s="13"/>
      <c r="H32" s="49">
        <v>0.01</v>
      </c>
      <c r="I32" s="47">
        <f>I34*H32</f>
        <v>0</v>
      </c>
      <c r="J32" s="35">
        <f>J34*H32</f>
        <v>0</v>
      </c>
      <c r="K32" s="36">
        <f>K34*H32</f>
        <v>0</v>
      </c>
    </row>
    <row r="33" spans="1:11" x14ac:dyDescent="0.25">
      <c r="A33" s="13" t="s">
        <v>6</v>
      </c>
      <c r="B33" s="13"/>
      <c r="C33" s="48">
        <v>0.31</v>
      </c>
      <c r="D33" s="50">
        <f>D34*C33</f>
        <v>0</v>
      </c>
      <c r="E33" s="13" t="s">
        <v>6</v>
      </c>
      <c r="F33" s="13"/>
      <c r="G33" s="13"/>
      <c r="H33" s="48">
        <v>0.32500000000000001</v>
      </c>
      <c r="I33" s="47">
        <f>I34*H33</f>
        <v>0</v>
      </c>
      <c r="J33" s="35">
        <f>J34*H33</f>
        <v>0</v>
      </c>
      <c r="K33" s="36">
        <f>K34*H33</f>
        <v>0</v>
      </c>
    </row>
    <row r="34" spans="1:11" x14ac:dyDescent="0.25">
      <c r="A34" s="13" t="s">
        <v>7</v>
      </c>
      <c r="B34" s="13"/>
      <c r="C34" s="48"/>
      <c r="D34" s="51">
        <f>D26*1.449275</f>
        <v>0</v>
      </c>
      <c r="E34" s="13" t="s">
        <v>7</v>
      </c>
      <c r="F34" s="13"/>
      <c r="G34" s="13"/>
      <c r="H34" s="48"/>
      <c r="I34" s="52">
        <f>D34*1.0222</f>
        <v>0</v>
      </c>
      <c r="J34" s="35">
        <f>(J40+J28)/67.5*100</f>
        <v>0</v>
      </c>
      <c r="K34" s="53">
        <f>K39</f>
        <v>0</v>
      </c>
    </row>
    <row r="35" spans="1:11" x14ac:dyDescent="0.25">
      <c r="A35" s="13" t="s">
        <v>3</v>
      </c>
      <c r="B35" s="13"/>
      <c r="C35" s="48">
        <v>0.06</v>
      </c>
      <c r="D35" s="50">
        <f>D34*C35</f>
        <v>0</v>
      </c>
      <c r="E35" s="13"/>
      <c r="F35" s="13"/>
      <c r="G35" s="13"/>
      <c r="H35" s="48"/>
      <c r="I35" s="105"/>
      <c r="J35" s="106"/>
      <c r="K35" s="106"/>
    </row>
    <row r="36" spans="1:11" x14ac:dyDescent="0.25">
      <c r="A36" s="13" t="s">
        <v>4</v>
      </c>
      <c r="B36" s="13"/>
      <c r="C36" s="48">
        <v>0.04</v>
      </c>
      <c r="D36" s="50">
        <f>D34*C36</f>
        <v>0</v>
      </c>
      <c r="E36" s="13"/>
      <c r="F36" s="13"/>
      <c r="G36" s="13"/>
      <c r="H36" s="54"/>
      <c r="I36" s="105"/>
      <c r="J36" s="106"/>
      <c r="K36" s="106"/>
    </row>
    <row r="37" spans="1:11" x14ac:dyDescent="0.25">
      <c r="A37" s="13" t="s">
        <v>5</v>
      </c>
      <c r="B37" s="13"/>
      <c r="C37" s="48">
        <v>5.0000000000000001E-3</v>
      </c>
      <c r="D37" s="50">
        <f>D34*C37</f>
        <v>0</v>
      </c>
      <c r="E37" s="13"/>
      <c r="F37" s="13"/>
      <c r="G37" s="13"/>
      <c r="H37" s="48"/>
      <c r="I37" s="105"/>
      <c r="J37" s="106"/>
      <c r="K37" s="106"/>
    </row>
    <row r="38" spans="1:11" x14ac:dyDescent="0.25">
      <c r="A38" s="13" t="s">
        <v>8</v>
      </c>
      <c r="B38" s="13"/>
      <c r="C38" s="48">
        <v>0.105</v>
      </c>
      <c r="D38" s="50">
        <f>D34*C38</f>
        <v>0</v>
      </c>
      <c r="E38" s="13"/>
      <c r="F38" s="13"/>
      <c r="G38" s="13"/>
      <c r="H38" s="54"/>
      <c r="I38" s="105"/>
      <c r="J38" s="106"/>
      <c r="K38" s="106"/>
    </row>
    <row r="39" spans="1:11" x14ac:dyDescent="0.25">
      <c r="A39" s="13" t="s">
        <v>9</v>
      </c>
      <c r="B39" s="13"/>
      <c r="C39" s="49"/>
      <c r="D39" s="55">
        <f>D34+D38+B6+B7+B8+B9</f>
        <v>0</v>
      </c>
      <c r="E39" s="13" t="s">
        <v>9</v>
      </c>
      <c r="F39" s="13"/>
      <c r="G39" s="13"/>
      <c r="H39" s="54"/>
      <c r="I39" s="56">
        <f>I34</f>
        <v>0</v>
      </c>
      <c r="J39" s="27">
        <f>J34</f>
        <v>0</v>
      </c>
      <c r="K39" s="57">
        <f>D39</f>
        <v>0</v>
      </c>
    </row>
    <row r="40" spans="1:11" x14ac:dyDescent="0.25">
      <c r="A40" s="13" t="s">
        <v>10</v>
      </c>
      <c r="B40" s="13"/>
      <c r="C40" s="49"/>
      <c r="D40" s="58">
        <f>B11+B6+B7+B8+B9</f>
        <v>0</v>
      </c>
      <c r="E40" s="13" t="s">
        <v>10</v>
      </c>
      <c r="F40" s="13"/>
      <c r="G40" s="13"/>
      <c r="H40" s="54"/>
      <c r="I40" s="56">
        <f>I29</f>
        <v>0</v>
      </c>
      <c r="J40" s="59">
        <f>B11+B6+B7+B8+B9</f>
        <v>0</v>
      </c>
      <c r="K40" s="53">
        <f>K29</f>
        <v>0</v>
      </c>
    </row>
    <row r="41" spans="1:11" x14ac:dyDescent="0.25">
      <c r="A41" s="13" t="s">
        <v>45</v>
      </c>
      <c r="B41" s="13"/>
      <c r="C41" s="48">
        <v>5.0000000000000001E-3</v>
      </c>
      <c r="D41" s="50">
        <f>B11*C41</f>
        <v>0</v>
      </c>
      <c r="E41" s="13" t="s">
        <v>45</v>
      </c>
      <c r="F41" s="13"/>
      <c r="G41" s="13"/>
      <c r="H41" s="54"/>
      <c r="I41" s="60">
        <f>I40*C41</f>
        <v>0</v>
      </c>
      <c r="J41" s="61">
        <f>J40*C41</f>
        <v>0</v>
      </c>
      <c r="K41" s="53">
        <f>K40*C41</f>
        <v>0</v>
      </c>
    </row>
    <row r="42" spans="1:11" x14ac:dyDescent="0.25">
      <c r="A42" s="13" t="s">
        <v>14</v>
      </c>
      <c r="B42" s="13"/>
      <c r="C42" s="48">
        <v>5.0000000000000001E-3</v>
      </c>
      <c r="D42" s="50">
        <f>B11*C42</f>
        <v>0</v>
      </c>
      <c r="E42" s="13" t="s">
        <v>14</v>
      </c>
      <c r="F42" s="13"/>
      <c r="G42" s="13"/>
      <c r="H42" s="54"/>
      <c r="I42" s="60">
        <f>I40*C42</f>
        <v>0</v>
      </c>
      <c r="J42" s="61">
        <f>J40*C42</f>
        <v>0</v>
      </c>
      <c r="K42" s="53">
        <f>K40*C42</f>
        <v>0</v>
      </c>
    </row>
    <row r="43" spans="1:11" x14ac:dyDescent="0.25">
      <c r="A43" s="13" t="s">
        <v>46</v>
      </c>
      <c r="B43" s="13"/>
      <c r="C43" s="48">
        <v>5.0000000000000001E-3</v>
      </c>
      <c r="D43" s="50">
        <f>D34*C43</f>
        <v>0</v>
      </c>
      <c r="E43" s="13" t="s">
        <v>46</v>
      </c>
      <c r="F43" s="13"/>
      <c r="G43" s="13"/>
      <c r="H43" s="54"/>
      <c r="I43" s="60">
        <f>I34*C43</f>
        <v>0</v>
      </c>
      <c r="J43" s="61">
        <f>J34*C43</f>
        <v>0</v>
      </c>
      <c r="K43" s="53">
        <f>K39*C43</f>
        <v>0</v>
      </c>
    </row>
    <row r="44" spans="1:11" x14ac:dyDescent="0.25">
      <c r="A44" s="13" t="s">
        <v>47</v>
      </c>
      <c r="B44" s="13"/>
      <c r="C44" s="54"/>
      <c r="D44" s="15">
        <f>D34+D38+B6+B7+B8+B9+D41+D42+D43</f>
        <v>0</v>
      </c>
      <c r="E44" s="25" t="s">
        <v>47</v>
      </c>
      <c r="F44" s="13"/>
      <c r="G44" s="13"/>
      <c r="H44" s="13"/>
      <c r="I44" s="60">
        <f>I34+B6+B7+B8+B9+I41+I42+I43</f>
        <v>0</v>
      </c>
      <c r="J44" s="62">
        <f>J34+B6+B7+B8+B9+J41+J42+J43</f>
        <v>0</v>
      </c>
      <c r="K44" s="62">
        <f>K34+B6+B7+B8+B9+K41+K42+K43</f>
        <v>0</v>
      </c>
    </row>
  </sheetData>
  <sheetProtection algorithmName="SHA-512" hashValue="NlqXcFXOnj74NDqGaCr6pClzSuBRlBBZ5KiOcFe/lmMXAvns50SBIPaccMeivdMc+nKQ1XbKzxMk2SbWt6wsUg==" saltValue="ASGHVNbU/nlkwe9KmCNE4g==" spinCount="100000" sheet="1" objects="1" scenarios="1"/>
  <protectedRanges>
    <protectedRange algorithmName="SHA-512" hashValue="X8UollL/41tjsmCCobNTrJJ77ahyVVtHnayvLcgKHTNCfKLOewyLcGQh8vm6Ojr7GUIAF4svgY3nll5Ed/XFDQ==" saltValue="gPu/zy7Rj3qQOTIHxb6B/Q==" spinCount="100000" sqref="B6:B11" name="Range1"/>
  </protectedRanges>
  <mergeCells count="12">
    <mergeCell ref="I35:K35"/>
    <mergeCell ref="I36:K36"/>
    <mergeCell ref="I37:K37"/>
    <mergeCell ref="I38:K38"/>
    <mergeCell ref="A1:I2"/>
    <mergeCell ref="A25:D25"/>
    <mergeCell ref="A4:B4"/>
    <mergeCell ref="E25:H25"/>
    <mergeCell ref="A23:K23"/>
    <mergeCell ref="F14:G14"/>
    <mergeCell ref="H14:I14"/>
    <mergeCell ref="I27:K27"/>
  </mergeCells>
  <conditionalFormatting sqref="I16:I17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I20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I18:I19">
    <cfRule type="cellIs" dxfId="9" priority="15" operator="lessThan">
      <formula>0</formula>
    </cfRule>
    <cfRule type="cellIs" dxfId="8" priority="16" operator="greaterThan">
      <formula>0</formula>
    </cfRule>
  </conditionalFormatting>
  <conditionalFormatting sqref="G16:G17">
    <cfRule type="cellIs" dxfId="7" priority="5" operator="lessThan">
      <formula>0</formula>
    </cfRule>
    <cfRule type="cellIs" dxfId="6" priority="6" operator="greaterThan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8:G20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dataValidations count="2">
    <dataValidation type="decimal" allowBlank="1" showInputMessage="1" showErrorMessage="1" sqref="B10:B12" xr:uid="{00000000-0002-0000-0200-000000000000}">
      <formula1>1</formula1>
      <formula2>2</formula2>
    </dataValidation>
    <dataValidation type="whole" allowBlank="1" showInputMessage="1" showErrorMessage="1" sqref="B6" xr:uid="{00000000-0002-0000-0200-000001000000}">
      <formula1>0</formula1>
      <formula2>192</formula2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Bruto plata (vladini razredi)</vt:lpstr>
      <vt:lpstr>Po razredima nedovršeno</vt:lpstr>
      <vt:lpstr>Kalkulacija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 Numanovic</dc:creator>
  <cp:lastModifiedBy>Administrator</cp:lastModifiedBy>
  <dcterms:created xsi:type="dcterms:W3CDTF">2019-10-07T19:13:32Z</dcterms:created>
  <dcterms:modified xsi:type="dcterms:W3CDTF">2019-10-08T18:12:43Z</dcterms:modified>
</cp:coreProperties>
</file>